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omments1.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24226"/>
  <mc:AlternateContent xmlns:mc="http://schemas.openxmlformats.org/markup-compatibility/2006">
    <mc:Choice Requires="x15">
      <x15ac:absPath xmlns:x15ac="http://schemas.microsoft.com/office/spreadsheetml/2010/11/ac" url="K:\Dept - Plan and Eng\SAFETY CODES\Energy Code\WEBSITE\"/>
    </mc:Choice>
  </mc:AlternateContent>
  <xr:revisionPtr revIDLastSave="0" documentId="13_ncr:1_{109B86D1-5B54-4A71-9715-0858E05B96D2}" xr6:coauthVersionLast="47" xr6:coauthVersionMax="47" xr10:uidLastSave="{00000000-0000-0000-0000-000000000000}"/>
  <workbookProtection workbookPassword="CC3D" lockStructure="1"/>
  <bookViews>
    <workbookView xWindow="28680" yWindow="-120" windowWidth="29040" windowHeight="15840" activeTab="4" xr2:uid="{00000000-000D-0000-FFFF-FFFF00000000}"/>
  </bookViews>
  <sheets>
    <sheet name="Introduction" sheetId="4" r:id="rId1"/>
    <sheet name="Trade-Off_Conformité" sheetId="1" r:id="rId2"/>
    <sheet name="Help-Aide" sheetId="3" r:id="rId3"/>
    <sheet name="Glazings_Vitrage" sheetId="5" r:id="rId4"/>
    <sheet name="Report-Rapport" sheetId="6" r:id="rId5"/>
    <sheet name="Tables" sheetId="2" state="hidden" r:id="rId6"/>
  </sheets>
  <definedNames>
    <definedName name="C_DL_ctrl">Tables!$AE$4:$AE$6</definedName>
    <definedName name="C_DL_ctrl_value">Tables!$AF$4:$AF$6</definedName>
    <definedName name="C_EL_ctrl">Tables!$AH$4:$AH$8</definedName>
    <definedName name="C_EL_ctrl_value">Tables!$AI$4:$AI$8</definedName>
    <definedName name="Choice_Y_N">Tables!$BL$4:$BL$5</definedName>
    <definedName name="Cocc_ctrl_i">Tables!$BF$5:$BF$7</definedName>
    <definedName name="Conv_Area_IP_to_SI">Tables!$BU$5</definedName>
    <definedName name="Conv_Illum_IP_to_SI">Tables!$BU$7</definedName>
    <definedName name="Conv_Length_IP_to_SI">Tables!$BU$6</definedName>
    <definedName name="d_operation">Introduction!$D$18</definedName>
    <definedName name="Daylight_supply">Tables!$AQ$4:$AQ$6</definedName>
    <definedName name="Design_Illuminance">Tables!$AK$5:$AK$8</definedName>
    <definedName name="Enclosed_Spaces_List">Tables!$BN$4:$BN$12</definedName>
    <definedName name="Gross_Floor_Area">Introduction!$D$17</definedName>
    <definedName name="hlp_Angle_to_top_horizontal_obstruction">'Help-Aide'!$C$23</definedName>
    <definedName name="hlp_Atrium_Height">'Help-Aide'!$C$6</definedName>
    <definedName name="hlp_Control_factor_for_lighting">'Help-Aide'!$C$15</definedName>
    <definedName name="hlp_Daylight_system_control">'Help-Aide'!$C$14</definedName>
    <definedName name="hlp_Daylighted_area">'Help-Aide'!$C$9</definedName>
    <definedName name="hlp_Design_illuminance___lx">'Help-Aide'!$C$17</definedName>
    <definedName name="hlp_Dirt_accumulation_factor">'Help-Aide'!$C$21</definedName>
    <definedName name="hlp_Enclosde_Space">'Help-Aide'!$C$4</definedName>
    <definedName name="hlp_Enclosed_Space_Function">'Help-Aide'!$C$5</definedName>
    <definedName name="hlp_Excluded_from_the_prescibed_automatic_control">'Help-Aide'!$C$18</definedName>
    <definedName name="hlp_Framing_Factor">'Help-Aide'!$C$20</definedName>
    <definedName name="hlp_Gross_interior_floor_area">'Help-Aide'!$C$8</definedName>
    <definedName name="hlp_Height_of_the_space">'Help-Aide'!$C$25</definedName>
    <definedName name="hlp_IILE">'Help-Aide'!$C$28</definedName>
    <definedName name="hlp_ILEA">'Help-Aide'!$C$29</definedName>
    <definedName name="hlp_Length_of_the_space">'Help-Aide'!$C$26</definedName>
    <definedName name="hlp_Llighting_power">'Help-Aide'!$C$10</definedName>
    <definedName name="hlp_Luminous_transmittance_of_the_glazing">'Help-Aide'!$C$19</definedName>
    <definedName name="hlp_Non_perpendicular_light_incidence_Factor">'Help-Aide'!$C$22</definedName>
    <definedName name="hlp_Occupancy_sensing_mechnism_type">'Help-Aide'!$C$7</definedName>
    <definedName name="hlp_Orientation_of_fenestration_providing_Sidelighting">'Help-Aide'!$C$16</definedName>
    <definedName name="hlp_Primary_type_of_daylight_supply">'Help-Aide'!$C$13</definedName>
    <definedName name="hlp_Space_Function">'Help-Aide'!$C$3</definedName>
    <definedName name="hlp_Space_name">'Help-Aide'!$C$2</definedName>
    <definedName name="hlp_Space_operation_end_time">'Help-Aide'!$C$12</definedName>
    <definedName name="hlp_Space_operation_start_time">'Help-Aide'!$C$11</definedName>
    <definedName name="hlp_Total_area_of_rough_opening_for_toplighting">'Help-Aide'!$C$24</definedName>
    <definedName name="hlp_Width_of_the_space">'Help-Aide'!$C$27</definedName>
    <definedName name="Hours">Tables!$AB$4:$AB$27</definedName>
    <definedName name="hpl_4224">'Help-Aide'!$C$34</definedName>
    <definedName name="hpl_55N">'Help-Aide'!$C$33</definedName>
    <definedName name="hpl_Daylgt_TOP">'Help-Aide'!#REF!</definedName>
    <definedName name="hpl_Pers_Ctrl">'Help-Aide'!$C$30</definedName>
    <definedName name="hpl_SAP">'Help-Aide'!$C$32</definedName>
    <definedName name="hpl_SEA">'Help-Aide'!$C$31</definedName>
    <definedName name="Language">Tables!$CA$4:$CA$5</definedName>
    <definedName name="Menu_Titles">Tables!$BW$4:$BX$39</definedName>
    <definedName name="NumSpaces">Tables!$B$1</definedName>
    <definedName name="Occupancy_ctrl_mechanism">Tables!$BE$5:$BE$7</definedName>
    <definedName name="Orientation">Tables!$AL$4:$AO$4</definedName>
    <definedName name="Personal_control__Cpers_ctrl_i">Tables!$BC$5:$BC$102</definedName>
    <definedName name="Prescriptive_LPD">Tables!$BI$5:$BI$102</definedName>
    <definedName name="_xlnm.Print_Area" localSheetId="4">'Report-Rapport'!$A$1:$G$26</definedName>
    <definedName name="Raw_Daylight_Supply">Tables!$AL$5:$AO$8</definedName>
    <definedName name="RCR">Tables!$AX$5:$AY$18</definedName>
    <definedName name="Realtive_Absence_of_Occupants__CA_i">Tables!$BB$5:$BB$102</definedName>
    <definedName name="SAP">'Help-Aide'!$C$32</definedName>
    <definedName name="Select_Lang">Introduction!$D$20</definedName>
    <definedName name="Select_Units">Introduction!$D$21</definedName>
    <definedName name="Space_Types">Tables!$BA$5:$BA$102</definedName>
    <definedName name="Stop_Hours">Tables!$AC$4:$AC$27</definedName>
    <definedName name="Supply_factor_toplighting">Tables!$AT$5:$AV$8</definedName>
    <definedName name="t_day">Tables!$C$6:$Z$29</definedName>
    <definedName name="t_night">Tables!$C$34:$Z$57</definedName>
    <definedName name="Units">Tables!$CA$7:$CA$8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6" l="1"/>
  <c r="FS7" i="1"/>
  <c r="FR7" i="1"/>
  <c r="FI7" i="1"/>
  <c r="FH7" i="1"/>
  <c r="FG7" i="1"/>
  <c r="FF7" i="1"/>
  <c r="FB7" i="1"/>
  <c r="FA7" i="1"/>
  <c r="EZ7" i="1"/>
  <c r="EY7" i="1"/>
  <c r="EX7" i="1"/>
  <c r="EU7" i="1"/>
  <c r="ET7" i="1"/>
  <c r="ES7" i="1" s="1"/>
  <c r="EM7" i="1" s="1"/>
  <c r="ER7" i="1"/>
  <c r="EQ7" i="1"/>
  <c r="EP7" i="1"/>
  <c r="EO7" i="1"/>
  <c r="EH7" i="1"/>
  <c r="EF7" i="1"/>
  <c r="ED7" i="1"/>
  <c r="DR7" i="1"/>
  <c r="DZ7" i="1" s="1"/>
  <c r="CY7" i="1"/>
  <c r="CX7" i="1"/>
  <c r="CW7" i="1"/>
  <c r="CV7" i="1"/>
  <c r="CU7" i="1"/>
  <c r="CT7" i="1"/>
  <c r="CS7" i="1"/>
  <c r="CR7" i="1"/>
  <c r="CQ7" i="1"/>
  <c r="CP7" i="1" s="1"/>
  <c r="CM7" i="1"/>
  <c r="CL7" i="1"/>
  <c r="CK7" i="1"/>
  <c r="CJ7" i="1"/>
  <c r="CE7" i="1"/>
  <c r="CD7" i="1"/>
  <c r="BX7" i="1" s="1"/>
  <c r="CC7" i="1"/>
  <c r="CB7" i="1"/>
  <c r="CA7" i="1"/>
  <c r="BZ7" i="1"/>
  <c r="BY7" i="1"/>
  <c r="BV7" i="1" s="1"/>
  <c r="BR7" i="1"/>
  <c r="BQ7" i="1"/>
  <c r="BP7" i="1"/>
  <c r="BN7" i="1"/>
  <c r="BL7" i="1"/>
  <c r="BK7" i="1"/>
  <c r="BJ7" i="1"/>
  <c r="BI7" i="1"/>
  <c r="BG7" i="1" s="1"/>
  <c r="BH7" i="1"/>
  <c r="BF7" i="1" s="1"/>
  <c r="AQ7" i="1"/>
  <c r="A7" i="1"/>
  <c r="FE7" i="1" l="1"/>
  <c r="FD7" i="1" s="1"/>
  <c r="FQ7" i="1"/>
  <c r="EN7" i="1"/>
  <c r="EK7" i="1" s="1"/>
  <c r="EB7" i="1"/>
  <c r="DX7" i="1" s="1"/>
  <c r="BC7" i="1"/>
  <c r="AT7" i="1"/>
  <c r="EA7" i="1"/>
  <c r="DO7" i="1" s="1"/>
  <c r="DV7" i="1"/>
  <c r="AK21" i="2"/>
  <c r="DT7" i="1" l="1"/>
  <c r="AY7" i="1"/>
  <c r="B1" i="5" l="1"/>
  <c r="C1" i="5"/>
  <c r="D1" i="5"/>
  <c r="E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 i="5"/>
  <c r="C3" i="5"/>
  <c r="C4" i="5"/>
  <c r="C5" i="5"/>
  <c r="C6" i="5"/>
  <c r="C7" i="5"/>
  <c r="C8"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2" i="5"/>
  <c r="FQ5" i="1" l="1"/>
  <c r="A5" i="1" l="1"/>
  <c r="K5" i="1"/>
  <c r="L5" i="1"/>
  <c r="X6" i="1" l="1"/>
  <c r="CF34" i="2" l="1"/>
  <c r="CF36" i="2" l="1"/>
  <c r="CF35" i="2"/>
  <c r="D34" i="3" l="1"/>
  <c r="D33" i="3"/>
  <c r="AB6" i="1"/>
  <c r="AA6" i="1"/>
  <c r="Z6" i="1"/>
  <c r="Y6" i="1" l="1"/>
  <c r="BW75" i="2"/>
  <c r="C34" i="3" s="1"/>
  <c r="BW74" i="2"/>
  <c r="C33" i="3" s="1"/>
  <c r="BW73" i="2"/>
  <c r="C32" i="3" s="1"/>
  <c r="AK20" i="2" l="1"/>
  <c r="BY28" i="2" l="1"/>
  <c r="BX28" i="2" s="1"/>
  <c r="C18" i="4" l="1"/>
  <c r="A3" i="4"/>
  <c r="D32" i="3" l="1"/>
  <c r="CF33" i="2"/>
  <c r="D31" i="3" s="1"/>
  <c r="CF32" i="2"/>
  <c r="D30" i="3" s="1"/>
  <c r="BW71" i="2"/>
  <c r="C31" i="3" s="1"/>
  <c r="BW70" i="2"/>
  <c r="C30" i="3" s="1"/>
  <c r="U6" i="1"/>
  <c r="F6" i="1"/>
  <c r="AH8" i="2" l="1"/>
  <c r="AE6" i="2"/>
  <c r="BE7" i="2"/>
  <c r="CI4" i="2" l="1"/>
  <c r="C34" i="4" s="1"/>
  <c r="A15" i="6" l="1"/>
  <c r="FS32" i="2"/>
  <c r="FS31" i="2"/>
  <c r="FS30" i="2"/>
  <c r="A14" i="6" s="1"/>
  <c r="FS29" i="2"/>
  <c r="FS28" i="2"/>
  <c r="A13" i="6" s="1"/>
  <c r="FS27" i="2"/>
  <c r="FS26" i="2"/>
  <c r="FS25" i="2"/>
  <c r="FS24" i="2"/>
  <c r="FS23" i="2"/>
  <c r="FS22" i="2"/>
  <c r="FS21" i="2"/>
  <c r="FS20" i="2"/>
  <c r="FS19" i="2"/>
  <c r="FS18" i="2"/>
  <c r="FS17" i="2"/>
  <c r="FS16" i="2"/>
  <c r="FS15" i="2"/>
  <c r="D9" i="6" s="1"/>
  <c r="FS14" i="2"/>
  <c r="FS13" i="2"/>
  <c r="FS12" i="2"/>
  <c r="FS11" i="2"/>
  <c r="A8" i="6" s="1"/>
  <c r="FS10" i="2"/>
  <c r="A7" i="6" s="1"/>
  <c r="FS9" i="2"/>
  <c r="FS8" i="2"/>
  <c r="A6" i="6" s="1"/>
  <c r="FS7" i="2"/>
  <c r="A5" i="6" s="1"/>
  <c r="FS6" i="2"/>
  <c r="A4" i="6" s="1"/>
  <c r="FS5" i="2"/>
  <c r="A3" i="6" s="1"/>
  <c r="FS4" i="2"/>
  <c r="A10" i="6" l="1"/>
  <c r="CF31" i="2"/>
  <c r="D29" i="3" s="1"/>
  <c r="CF30" i="2"/>
  <c r="D28" i="3" s="1"/>
  <c r="CF29" i="2"/>
  <c r="D27" i="3" s="1"/>
  <c r="CF28" i="2"/>
  <c r="D26" i="3" s="1"/>
  <c r="CF27" i="2"/>
  <c r="D25" i="3" s="1"/>
  <c r="CF26" i="2"/>
  <c r="D24" i="3" s="1"/>
  <c r="CF25" i="2"/>
  <c r="D23" i="3" s="1"/>
  <c r="CF24" i="2"/>
  <c r="D22" i="3" s="1"/>
  <c r="CF23" i="2"/>
  <c r="D21" i="3" s="1"/>
  <c r="CF22" i="2"/>
  <c r="D20" i="3" s="1"/>
  <c r="CF21" i="2"/>
  <c r="D19" i="3" s="1"/>
  <c r="CF20" i="2"/>
  <c r="D18" i="3" s="1"/>
  <c r="CF19" i="2"/>
  <c r="D17" i="3" s="1"/>
  <c r="CF18" i="2"/>
  <c r="D16" i="3" s="1"/>
  <c r="CF17" i="2"/>
  <c r="D15" i="3" s="1"/>
  <c r="CF16" i="2"/>
  <c r="D14" i="3" s="1"/>
  <c r="CF15" i="2"/>
  <c r="D13" i="3" s="1"/>
  <c r="CF14" i="2"/>
  <c r="D12" i="3" s="1"/>
  <c r="CF13" i="2"/>
  <c r="D11" i="3" s="1"/>
  <c r="CF12" i="2"/>
  <c r="D10" i="3" s="1"/>
  <c r="CF11" i="2"/>
  <c r="D9" i="3" s="1"/>
  <c r="CF10" i="2"/>
  <c r="D8" i="3" s="1"/>
  <c r="CF9" i="2"/>
  <c r="D7" i="3" s="1"/>
  <c r="CF8" i="2"/>
  <c r="D6" i="3" s="1"/>
  <c r="CF7" i="2"/>
  <c r="D5" i="3" s="1"/>
  <c r="CF6" i="2"/>
  <c r="D4" i="3" s="1"/>
  <c r="CF5" i="2"/>
  <c r="D3" i="3" s="1"/>
  <c r="CF4" i="2"/>
  <c r="D2" i="3" s="1"/>
  <c r="BW69" i="2"/>
  <c r="C29" i="3" s="1"/>
  <c r="BW68" i="2"/>
  <c r="C28" i="3" s="1"/>
  <c r="BW63" i="2"/>
  <c r="C23" i="3" s="1"/>
  <c r="BW62" i="2"/>
  <c r="C22" i="3" s="1"/>
  <c r="BW61" i="2"/>
  <c r="C21" i="3" s="1"/>
  <c r="BW60" i="2"/>
  <c r="C20" i="3" s="1"/>
  <c r="BW59" i="2"/>
  <c r="C19" i="3" s="1"/>
  <c r="BW58" i="2"/>
  <c r="C18" i="3" s="1"/>
  <c r="BW56" i="2"/>
  <c r="C16" i="3" s="1"/>
  <c r="BW55" i="2"/>
  <c r="C15" i="3" s="1"/>
  <c r="BW54" i="2"/>
  <c r="C14" i="3" s="1"/>
  <c r="BW53" i="2"/>
  <c r="C13" i="3" s="1"/>
  <c r="BW52" i="2"/>
  <c r="C12" i="3" s="1"/>
  <c r="BW51" i="2"/>
  <c r="C11" i="3" s="1"/>
  <c r="BW50" i="2"/>
  <c r="C10" i="3" s="1"/>
  <c r="BW47" i="2"/>
  <c r="C7" i="3" s="1"/>
  <c r="BW45" i="2"/>
  <c r="C5" i="3" s="1"/>
  <c r="BW44" i="2"/>
  <c r="C4" i="3" s="1"/>
  <c r="BW43" i="2"/>
  <c r="C3" i="3" s="1"/>
  <c r="BW42" i="2"/>
  <c r="C2" i="3" s="1"/>
  <c r="C21" i="4"/>
  <c r="C16" i="4"/>
  <c r="C15" i="4"/>
  <c r="C14" i="4"/>
  <c r="CC4" i="2"/>
  <c r="C5" i="4" s="1"/>
  <c r="BT12" i="2" l="1"/>
  <c r="BT11" i="2"/>
  <c r="BT10" i="2"/>
  <c r="BS7" i="2"/>
  <c r="BS12" i="2" s="1"/>
  <c r="BS6" i="2"/>
  <c r="BS11" i="2" s="1"/>
  <c r="BS5" i="2"/>
  <c r="BS10" i="2" s="1"/>
  <c r="BP6" i="2"/>
  <c r="BY21" i="2"/>
  <c r="BY31" i="2"/>
  <c r="BX31" i="2" s="1"/>
  <c r="BY30" i="2"/>
  <c r="BY29" i="2"/>
  <c r="BW28" i="2"/>
  <c r="BY13" i="2"/>
  <c r="BY12" i="2"/>
  <c r="BX12" i="2" s="1"/>
  <c r="BY10" i="2"/>
  <c r="BW10" i="2" s="1"/>
  <c r="AO4" i="2"/>
  <c r="AN4" i="2"/>
  <c r="AM4" i="2"/>
  <c r="AL4" i="2"/>
  <c r="BL5" i="2"/>
  <c r="BL4" i="2"/>
  <c r="BE6" i="2"/>
  <c r="BE5" i="2"/>
  <c r="AH6" i="1"/>
  <c r="AG6" i="1"/>
  <c r="W6" i="1"/>
  <c r="V6" i="1"/>
  <c r="T6" i="1"/>
  <c r="S6" i="1"/>
  <c r="Q6" i="1"/>
  <c r="P6" i="1"/>
  <c r="O6" i="1"/>
  <c r="N6" i="1"/>
  <c r="M6" i="1"/>
  <c r="L6" i="1"/>
  <c r="K6" i="1"/>
  <c r="H6" i="1"/>
  <c r="E6" i="1"/>
  <c r="D6" i="1"/>
  <c r="C6" i="1"/>
  <c r="B6" i="1"/>
  <c r="A6" i="1"/>
  <c r="A2" i="1"/>
  <c r="BP5" i="2"/>
  <c r="BP4" i="2"/>
  <c r="BN12" i="2"/>
  <c r="BN11" i="2"/>
  <c r="BN10" i="2"/>
  <c r="BN9" i="2"/>
  <c r="BN8" i="2"/>
  <c r="BN7" i="2"/>
  <c r="BN6" i="2"/>
  <c r="BN5" i="2"/>
  <c r="BN4" i="2"/>
  <c r="BA102" i="2"/>
  <c r="BA101" i="2"/>
  <c r="BA100" i="2"/>
  <c r="BA99" i="2"/>
  <c r="BA98" i="2"/>
  <c r="BA97" i="2"/>
  <c r="BA96" i="2"/>
  <c r="BA95" i="2"/>
  <c r="BA94" i="2"/>
  <c r="BA93" i="2"/>
  <c r="BA92" i="2"/>
  <c r="BA91" i="2"/>
  <c r="BA90" i="2"/>
  <c r="BA89" i="2"/>
  <c r="BA88" i="2"/>
  <c r="BA87" i="2"/>
  <c r="BA86" i="2"/>
  <c r="BA85" i="2"/>
  <c r="BA84" i="2"/>
  <c r="BA83" i="2"/>
  <c r="BA82" i="2"/>
  <c r="BA81" i="2"/>
  <c r="BA80" i="2"/>
  <c r="BA79" i="2"/>
  <c r="BA78" i="2"/>
  <c r="BA77" i="2"/>
  <c r="BA76" i="2"/>
  <c r="BA75" i="2"/>
  <c r="BA74" i="2"/>
  <c r="BA73" i="2"/>
  <c r="BA72" i="2"/>
  <c r="BA71" i="2"/>
  <c r="BA70" i="2"/>
  <c r="BA69" i="2"/>
  <c r="BA68" i="2"/>
  <c r="BA67" i="2"/>
  <c r="BA66" i="2"/>
  <c r="BA65" i="2"/>
  <c r="BA64" i="2"/>
  <c r="BA63" i="2"/>
  <c r="BA62" i="2"/>
  <c r="BA61" i="2"/>
  <c r="BA60" i="2"/>
  <c r="BA59" i="2"/>
  <c r="BA58" i="2"/>
  <c r="BA57" i="2"/>
  <c r="BA56" i="2"/>
  <c r="BA55" i="2"/>
  <c r="BA54" i="2"/>
  <c r="BA53" i="2"/>
  <c r="BA52" i="2"/>
  <c r="BA51" i="2"/>
  <c r="BA50" i="2"/>
  <c r="BA49" i="2"/>
  <c r="BA48" i="2"/>
  <c r="BA47" i="2"/>
  <c r="BA46" i="2"/>
  <c r="BA45" i="2"/>
  <c r="BA44" i="2"/>
  <c r="BA43" i="2"/>
  <c r="BA42" i="2"/>
  <c r="BA41" i="2"/>
  <c r="BA40" i="2"/>
  <c r="BA39" i="2"/>
  <c r="BA38" i="2"/>
  <c r="BA37" i="2"/>
  <c r="BA36" i="2"/>
  <c r="BA35" i="2"/>
  <c r="BA34" i="2"/>
  <c r="BA33" i="2"/>
  <c r="BA32" i="2"/>
  <c r="BA31" i="2"/>
  <c r="BA30" i="2"/>
  <c r="BA29" i="2"/>
  <c r="BA28" i="2"/>
  <c r="BA27" i="2"/>
  <c r="BA26" i="2"/>
  <c r="BA25" i="2"/>
  <c r="BA24" i="2"/>
  <c r="BA23" i="2"/>
  <c r="BA22" i="2"/>
  <c r="BA21" i="2"/>
  <c r="BA20" i="2"/>
  <c r="BA19" i="2"/>
  <c r="BA18" i="2"/>
  <c r="BA17" i="2"/>
  <c r="BA16" i="2"/>
  <c r="BA15" i="2"/>
  <c r="BA14" i="2"/>
  <c r="BA13" i="2"/>
  <c r="BA12" i="2"/>
  <c r="BA11" i="2"/>
  <c r="BA10" i="2"/>
  <c r="BA9" i="2"/>
  <c r="BA8" i="2"/>
  <c r="BA7" i="2"/>
  <c r="BA6" i="2"/>
  <c r="BA5" i="2"/>
  <c r="AQ6" i="2"/>
  <c r="AQ5" i="2"/>
  <c r="AQ4" i="2"/>
  <c r="AH7" i="2"/>
  <c r="AH6" i="2"/>
  <c r="AH5" i="2"/>
  <c r="AH4" i="2"/>
  <c r="AE5" i="2"/>
  <c r="AE4" i="2"/>
  <c r="C20" i="4"/>
  <c r="FJ7" i="1" l="1"/>
  <c r="FM7" i="1" s="1"/>
  <c r="DG7" i="1"/>
  <c r="DA7" i="1"/>
  <c r="FL7" i="1"/>
  <c r="DB7" i="1"/>
  <c r="FP7" i="1"/>
  <c r="FO7" i="1"/>
  <c r="DD7" i="1"/>
  <c r="DC7" i="1" s="1"/>
  <c r="AW7" i="1" s="1"/>
  <c r="CF7" i="1"/>
  <c r="AR7" i="1"/>
  <c r="DM7" i="1"/>
  <c r="CO7" i="1"/>
  <c r="AP7" i="1"/>
  <c r="AJ7" i="1" s="1"/>
  <c r="CN7" i="1"/>
  <c r="EI7" i="1"/>
  <c r="BS7" i="1"/>
  <c r="BW13" i="2"/>
  <c r="BX13" i="2"/>
  <c r="BW21" i="2"/>
  <c r="BX21" i="2"/>
  <c r="BW29" i="2"/>
  <c r="BX29" i="2"/>
  <c r="BW30" i="2"/>
  <c r="BX30" i="2"/>
  <c r="C17" i="4"/>
  <c r="BW12" i="2"/>
  <c r="BW31" i="2"/>
  <c r="BW64" i="2"/>
  <c r="C24" i="3" s="1"/>
  <c r="B1" i="2"/>
  <c r="BX10" i="2"/>
  <c r="FK7" i="1" l="1"/>
  <c r="DQ7" i="1" s="1"/>
  <c r="DY7" i="1" s="1"/>
  <c r="DW7" i="1" s="1"/>
  <c r="DL7" i="1" s="1"/>
  <c r="CZ7" i="1"/>
  <c r="AV7" i="1" s="1"/>
  <c r="BD7" i="1" s="1"/>
  <c r="BE7" i="1"/>
  <c r="BA7" i="1"/>
  <c r="EG7" i="1"/>
  <c r="S7" i="1"/>
  <c r="CI7" i="1"/>
  <c r="EV7" i="1" s="1"/>
  <c r="BW7" i="1"/>
  <c r="BU7" i="1" s="1"/>
  <c r="EL7" i="1"/>
  <c r="EJ7" i="1" s="1"/>
  <c r="FC7" i="1"/>
  <c r="EW7" i="1" s="1"/>
  <c r="BW57" i="2"/>
  <c r="C17" i="3" s="1"/>
  <c r="BW48" i="2"/>
  <c r="C8" i="3" s="1"/>
  <c r="BE1" i="2"/>
  <c r="BW67" i="2"/>
  <c r="C27" i="3" s="1"/>
  <c r="R6" i="1"/>
  <c r="AC6" i="1"/>
  <c r="AE6" i="1"/>
  <c r="BW66" i="2"/>
  <c r="C26" i="3" s="1"/>
  <c r="AD6" i="1"/>
  <c r="BW65" i="2"/>
  <c r="C25" i="3" s="1"/>
  <c r="J6" i="1"/>
  <c r="BW49" i="2"/>
  <c r="C9" i="3" s="1"/>
  <c r="G6" i="1"/>
  <c r="BW46" i="2"/>
  <c r="C6" i="3" s="1"/>
  <c r="I6" i="1"/>
  <c r="G5" i="1" s="1"/>
  <c r="AF6" i="1"/>
  <c r="DU7" i="1" l="1"/>
  <c r="DS7" i="1" s="1"/>
  <c r="DK7" i="1" s="1"/>
  <c r="AZ7" i="1"/>
  <c r="AX7" i="1" s="1"/>
  <c r="AN7" i="1" s="1"/>
  <c r="BB7" i="1"/>
  <c r="AO7" i="1" s="1"/>
  <c r="CG7" i="1"/>
  <c r="BT7" i="1"/>
  <c r="EE7" i="1"/>
  <c r="EC7" i="1" s="1"/>
  <c r="DP7" i="1" s="1"/>
  <c r="DN7" i="1" s="1"/>
  <c r="DJ7" i="1" s="1"/>
  <c r="CH7" i="1"/>
  <c r="BO7" i="1" s="1"/>
  <c r="BM7" i="1" s="1"/>
  <c r="B5" i="1"/>
  <c r="DH7" i="1" l="1"/>
  <c r="DI7" i="1" s="1"/>
  <c r="DF7" i="1" s="1"/>
  <c r="AH7" i="1" s="1"/>
  <c r="AU7" i="1"/>
  <c r="AS7" i="1" s="1"/>
  <c r="AM7" i="1" s="1"/>
  <c r="AK7" i="1"/>
  <c r="AL7" i="1"/>
  <c r="AI7" i="1" l="1"/>
  <c r="AG7" i="1" s="1"/>
  <c r="B3" i="1" s="1"/>
  <c r="C15" i="6" s="1"/>
  <c r="B4" i="1"/>
  <c r="C16" i="6" s="1"/>
  <c r="B2" i="1" l="1"/>
  <c r="A17"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Kristy Strecko</author>
    <author>Windows User</author>
  </authors>
  <commentList>
    <comment ref="DD1" authorId="0" shapeId="0" xr:uid="{00000000-0006-0000-0100-000001000000}">
      <text>
        <r>
          <rPr>
            <b/>
            <sz val="9"/>
            <color indexed="81"/>
            <rFont val="Tahoma"/>
            <family val="2"/>
          </rPr>
          <t>Kristy Strecko:</t>
        </r>
        <r>
          <rPr>
            <sz val="9"/>
            <color indexed="81"/>
            <rFont val="Tahoma"/>
            <family val="2"/>
          </rPr>
          <t xml:space="preserve">
"Cpers" calculation changed to accommodate new field under column F.</t>
        </r>
      </text>
    </comment>
    <comment ref="EF5" authorId="0" shapeId="0" xr:uid="{00000000-0006-0000-0100-000002000000}">
      <text>
        <r>
          <rPr>
            <b/>
            <sz val="9"/>
            <color indexed="81"/>
            <rFont val="Tahoma"/>
            <family val="2"/>
          </rPr>
          <t>Kristy Strecko:</t>
        </r>
        <r>
          <rPr>
            <sz val="9"/>
            <color indexed="81"/>
            <rFont val="Tahoma"/>
            <family val="2"/>
          </rPr>
          <t xml:space="preserve">
Will need to be changed according to the changes to 4.3.3.7..
</t>
        </r>
      </text>
    </comment>
    <comment ref="FO6" authorId="0" shapeId="0" xr:uid="{00000000-0006-0000-0100-000003000000}">
      <text>
        <r>
          <rPr>
            <b/>
            <sz val="9"/>
            <color indexed="81"/>
            <rFont val="Tahoma"/>
            <family val="2"/>
          </rPr>
          <t xml:space="preserve">Kristy Strecko:
</t>
        </r>
        <r>
          <rPr>
            <sz val="9"/>
            <color indexed="81"/>
            <rFont val="Tahoma"/>
            <family val="2"/>
          </rPr>
          <t xml:space="preserve">Tool wasn't calculating "C,EL" properly. Depending on primary daylighting (Top or Side), the "C,EL" for the allowance is based on minimum requirements according to 4.2.2.4. or 4.2.2.8..
</t>
        </r>
      </text>
    </comment>
    <comment ref="EF7" authorId="1" shapeId="0" xr:uid="{00000000-0006-0000-0100-000004000000}">
      <text>
        <r>
          <rPr>
            <b/>
            <sz val="9"/>
            <color indexed="81"/>
            <rFont val="Tahoma"/>
            <family val="2"/>
          </rPr>
          <t>Windows User:</t>
        </r>
        <r>
          <rPr>
            <sz val="9"/>
            <color indexed="81"/>
            <rFont val="Tahoma"/>
            <family val="2"/>
          </rPr>
          <t xml:space="preserve">
Always "manual" according to 4.3.3.7.(4).</t>
        </r>
      </text>
    </comment>
  </commentList>
</comments>
</file>

<file path=xl/sharedStrings.xml><?xml version="1.0" encoding="utf-8"?>
<sst xmlns="http://schemas.openxmlformats.org/spreadsheetml/2006/main" count="1401" uniqueCount="738">
  <si>
    <r>
      <t>A</t>
    </r>
    <r>
      <rPr>
        <vertAlign val="subscript"/>
        <sz val="11"/>
        <color theme="1"/>
        <rFont val="Calibri"/>
        <family val="2"/>
        <scheme val="minor"/>
      </rPr>
      <t>DL,i</t>
    </r>
  </si>
  <si>
    <r>
      <t>p</t>
    </r>
    <r>
      <rPr>
        <vertAlign val="subscript"/>
        <sz val="11"/>
        <color theme="1"/>
        <rFont val="Calibri"/>
        <family val="2"/>
        <scheme val="minor"/>
      </rPr>
      <t>i</t>
    </r>
  </si>
  <si>
    <t>daylighted area, m2</t>
  </si>
  <si>
    <t>lighting power density in a space W/ft2</t>
  </si>
  <si>
    <r>
      <t>t</t>
    </r>
    <r>
      <rPr>
        <vertAlign val="subscript"/>
        <sz val="11"/>
        <color theme="1"/>
        <rFont val="Calibri"/>
        <family val="2"/>
        <scheme val="minor"/>
      </rPr>
      <t>eff,day,DL,i</t>
    </r>
  </si>
  <si>
    <t>effective annual daytime operational time of daylighted area, h/a</t>
  </si>
  <si>
    <r>
      <t>t</t>
    </r>
    <r>
      <rPr>
        <vertAlign val="subscript"/>
        <sz val="11"/>
        <color theme="1"/>
        <rFont val="Calibri"/>
        <family val="2"/>
        <scheme val="minor"/>
      </rPr>
      <t>eff,day,NDL,i</t>
    </r>
  </si>
  <si>
    <t>effective annual daytime operational time of non-daylighted area, h/a</t>
  </si>
  <si>
    <r>
      <t>t</t>
    </r>
    <r>
      <rPr>
        <vertAlign val="subscript"/>
        <sz val="11"/>
        <color theme="1"/>
        <rFont val="Calibri"/>
        <family val="2"/>
        <scheme val="minor"/>
      </rPr>
      <t>eff,night,i</t>
    </r>
  </si>
  <si>
    <t>effective annual nighttime operational time, h/a</t>
  </si>
  <si>
    <r>
      <t>P</t>
    </r>
    <r>
      <rPr>
        <vertAlign val="subscript"/>
        <sz val="11"/>
        <color theme="1"/>
        <rFont val="Calibri"/>
        <family val="2"/>
        <scheme val="minor"/>
      </rPr>
      <t>i</t>
    </r>
  </si>
  <si>
    <r>
      <t>A</t>
    </r>
    <r>
      <rPr>
        <vertAlign val="subscript"/>
        <sz val="11"/>
        <color theme="1"/>
        <rFont val="Calibri"/>
        <family val="2"/>
        <scheme val="minor"/>
      </rPr>
      <t>i</t>
    </r>
  </si>
  <si>
    <t>lighting power in the space, W</t>
  </si>
  <si>
    <t>gross interior floor area of the space, m2</t>
  </si>
  <si>
    <r>
      <t>E</t>
    </r>
    <r>
      <rPr>
        <vertAlign val="subscript"/>
        <sz val="11"/>
        <color theme="1"/>
        <rFont val="Calibri"/>
        <family val="2"/>
        <scheme val="minor"/>
      </rPr>
      <t>i,proposed</t>
    </r>
  </si>
  <si>
    <t>Annual energy consumption of interior lighting in a space, W*h/a</t>
  </si>
  <si>
    <r>
      <t>A</t>
    </r>
    <r>
      <rPr>
        <vertAlign val="subscript"/>
        <sz val="11"/>
        <color theme="1"/>
        <rFont val="Calibri"/>
        <family val="2"/>
        <scheme val="minor"/>
      </rPr>
      <t>NDL,i</t>
    </r>
  </si>
  <si>
    <t>non-daylighted area, m2</t>
  </si>
  <si>
    <r>
      <t>t</t>
    </r>
    <r>
      <rPr>
        <vertAlign val="subscript"/>
        <sz val="11"/>
        <color theme="1"/>
        <rFont val="Calibri"/>
        <family val="2"/>
        <scheme val="minor"/>
      </rPr>
      <t>day,i</t>
    </r>
  </si>
  <si>
    <r>
      <t>F</t>
    </r>
    <r>
      <rPr>
        <vertAlign val="subscript"/>
        <sz val="11"/>
        <color theme="1"/>
        <rFont val="Calibri"/>
        <family val="2"/>
        <scheme val="minor"/>
      </rPr>
      <t>DL,i</t>
    </r>
  </si>
  <si>
    <r>
      <t>F</t>
    </r>
    <r>
      <rPr>
        <vertAlign val="subscript"/>
        <sz val="11"/>
        <color theme="1"/>
        <rFont val="Calibri"/>
        <family val="2"/>
        <scheme val="minor"/>
      </rPr>
      <t>occ,i</t>
    </r>
  </si>
  <si>
    <t>annual operational time of the space during daytime, h</t>
  </si>
  <si>
    <t>factor for daylight harvesting</t>
  </si>
  <si>
    <t>factor for occupancy control</t>
  </si>
  <si>
    <t>factor for personal control</t>
  </si>
  <si>
    <r>
      <t>F</t>
    </r>
    <r>
      <rPr>
        <vertAlign val="subscript"/>
        <sz val="11"/>
        <color theme="1"/>
        <rFont val="Calibri"/>
        <family val="2"/>
        <scheme val="minor"/>
      </rPr>
      <t>pers,i</t>
    </r>
  </si>
  <si>
    <r>
      <t>t</t>
    </r>
    <r>
      <rPr>
        <vertAlign val="subscript"/>
        <sz val="11"/>
        <color theme="1"/>
        <rFont val="Calibri"/>
        <family val="2"/>
        <scheme val="minor"/>
      </rPr>
      <t>night,i</t>
    </r>
  </si>
  <si>
    <t>annual operational time of the space during nighttime, h</t>
  </si>
  <si>
    <r>
      <t>d</t>
    </r>
    <r>
      <rPr>
        <vertAlign val="subscript"/>
        <sz val="11"/>
        <color theme="1"/>
        <rFont val="Calibri"/>
        <family val="2"/>
        <scheme val="minor"/>
      </rPr>
      <t>operation</t>
    </r>
  </si>
  <si>
    <t>actual number of days of operation of the building, days</t>
  </si>
  <si>
    <r>
      <t>Table 4.3.2.6.A: Number of operational hours of the building during daytime, t</t>
    </r>
    <r>
      <rPr>
        <vertAlign val="subscript"/>
        <sz val="11"/>
        <color theme="1"/>
        <rFont val="Calibri"/>
        <family val="2"/>
        <scheme val="minor"/>
      </rPr>
      <t>day,i</t>
    </r>
    <r>
      <rPr>
        <sz val="11"/>
        <color theme="1"/>
        <rFont val="Calibri"/>
        <family val="2"/>
        <scheme val="minor"/>
      </rPr>
      <t xml:space="preserve"> for various stat and end times</t>
    </r>
  </si>
  <si>
    <t>Start</t>
  </si>
  <si>
    <r>
      <t>Table 4.3.2.6.B: Number of operational hours of the building during nighttime, t</t>
    </r>
    <r>
      <rPr>
        <vertAlign val="subscript"/>
        <sz val="11"/>
        <color theme="1"/>
        <rFont val="Calibri"/>
        <family val="2"/>
        <scheme val="minor"/>
      </rPr>
      <t>night,i</t>
    </r>
    <r>
      <rPr>
        <sz val="11"/>
        <color theme="1"/>
        <rFont val="Calibri"/>
        <family val="2"/>
        <scheme val="minor"/>
      </rPr>
      <t xml:space="preserve"> for various stat and end times</t>
    </r>
  </si>
  <si>
    <r>
      <t>C</t>
    </r>
    <r>
      <rPr>
        <vertAlign val="subscript"/>
        <sz val="11"/>
        <color theme="1"/>
        <rFont val="Calibri"/>
        <family val="2"/>
        <scheme val="minor"/>
      </rPr>
      <t>DL,sup,i</t>
    </r>
  </si>
  <si>
    <r>
      <t>C</t>
    </r>
    <r>
      <rPr>
        <vertAlign val="subscript"/>
        <sz val="11"/>
        <color theme="1"/>
        <rFont val="Calibri"/>
        <family val="2"/>
        <scheme val="minor"/>
      </rPr>
      <t>DL,ctrl,i</t>
    </r>
  </si>
  <si>
    <r>
      <t>C</t>
    </r>
    <r>
      <rPr>
        <vertAlign val="subscript"/>
        <sz val="11"/>
        <color theme="1"/>
        <rFont val="Calibri"/>
        <family val="2"/>
        <scheme val="minor"/>
      </rPr>
      <t>EL,ctrl,i</t>
    </r>
  </si>
  <si>
    <t>daylight supply factor</t>
  </si>
  <si>
    <t>daylight system control</t>
  </si>
  <si>
    <t>daylight-dependant control factor for electric lighting</t>
  </si>
  <si>
    <t>Manual</t>
  </si>
  <si>
    <t>Automatic</t>
  </si>
  <si>
    <r>
      <t>Table 4.3.2.7.A: Daylight system control factor, C</t>
    </r>
    <r>
      <rPr>
        <vertAlign val="subscript"/>
        <sz val="11"/>
        <color theme="1"/>
        <rFont val="Calibri"/>
        <family val="2"/>
        <scheme val="minor"/>
      </rPr>
      <t>DL,ctrl,i</t>
    </r>
  </si>
  <si>
    <r>
      <t>Table 4.3.2.7.B: daylight-dependant control factor for electric lighting, C</t>
    </r>
    <r>
      <rPr>
        <vertAlign val="subscript"/>
        <sz val="11"/>
        <color theme="1"/>
        <rFont val="Calibri"/>
        <family val="2"/>
        <scheme val="minor"/>
      </rPr>
      <t>EL,ctrl,i</t>
    </r>
  </si>
  <si>
    <t>Dimming</t>
  </si>
  <si>
    <t>Bi-level switching</t>
  </si>
  <si>
    <t>Switching</t>
  </si>
  <si>
    <t>Hours</t>
  </si>
  <si>
    <t>adjusted operational daytime time, h</t>
  </si>
  <si>
    <t>adjusted operational nighttime time, h</t>
  </si>
  <si>
    <t>base operational daytime time</t>
  </si>
  <si>
    <t>base operational nighttime time</t>
  </si>
  <si>
    <t>Stop</t>
  </si>
  <si>
    <r>
      <t>τ</t>
    </r>
    <r>
      <rPr>
        <vertAlign val="subscript"/>
        <sz val="11"/>
        <color theme="1"/>
        <rFont val="Calibri"/>
        <family val="2"/>
        <scheme val="minor"/>
      </rPr>
      <t>eff,i</t>
    </r>
  </si>
  <si>
    <r>
      <t>C</t>
    </r>
    <r>
      <rPr>
        <vertAlign val="subscript"/>
        <sz val="11"/>
        <color theme="1"/>
        <rFont val="Calibri"/>
        <family val="2"/>
        <scheme val="minor"/>
      </rPr>
      <t>DL,sup,raw,i</t>
    </r>
  </si>
  <si>
    <r>
      <t>F</t>
    </r>
    <r>
      <rPr>
        <vertAlign val="subscript"/>
        <sz val="11"/>
        <color theme="1"/>
        <rFont val="Calibri"/>
        <family val="2"/>
        <scheme val="minor"/>
      </rPr>
      <t>obst,i</t>
    </r>
  </si>
  <si>
    <r>
      <t>t</t>
    </r>
    <r>
      <rPr>
        <vertAlign val="subscript"/>
        <sz val="11"/>
        <color theme="1"/>
        <rFont val="Calibri"/>
        <family val="2"/>
        <scheme val="minor"/>
      </rPr>
      <t>adjusted,day,i</t>
    </r>
  </si>
  <si>
    <r>
      <t>t</t>
    </r>
    <r>
      <rPr>
        <vertAlign val="subscript"/>
        <sz val="11"/>
        <color theme="1"/>
        <rFont val="Calibri"/>
        <family val="2"/>
        <scheme val="minor"/>
      </rPr>
      <t>adjusted,night,i</t>
    </r>
  </si>
  <si>
    <r>
      <t>t</t>
    </r>
    <r>
      <rPr>
        <vertAlign val="subscript"/>
        <sz val="11"/>
        <color theme="1"/>
        <rFont val="Calibri"/>
        <family val="2"/>
        <scheme val="minor"/>
      </rPr>
      <t>base,day,i</t>
    </r>
  </si>
  <si>
    <r>
      <t>t</t>
    </r>
    <r>
      <rPr>
        <vertAlign val="subscript"/>
        <sz val="11"/>
        <color theme="1"/>
        <rFont val="Calibri"/>
        <family val="2"/>
        <scheme val="minor"/>
      </rPr>
      <t>base,night,i</t>
    </r>
  </si>
  <si>
    <r>
      <t>t</t>
    </r>
    <r>
      <rPr>
        <vertAlign val="subscript"/>
        <sz val="11"/>
        <color theme="1"/>
        <rFont val="Calibri"/>
        <family val="2"/>
        <scheme val="minor"/>
      </rPr>
      <t>start,i</t>
    </r>
  </si>
  <si>
    <r>
      <t>t</t>
    </r>
    <r>
      <rPr>
        <vertAlign val="subscript"/>
        <sz val="11"/>
        <color theme="1"/>
        <rFont val="Calibri"/>
        <family val="2"/>
        <scheme val="minor"/>
      </rPr>
      <t>stop,i</t>
    </r>
  </si>
  <si>
    <t>Space operation start time</t>
  </si>
  <si>
    <t>Space operation end time</t>
  </si>
  <si>
    <t xml:space="preserve">effective luminous transmittance of the fenestration </t>
  </si>
  <si>
    <t>raw daylight supply factor for the rough opening</t>
  </si>
  <si>
    <t>factor to account for horizontal obstructions</t>
  </si>
  <si>
    <r>
      <t>τ</t>
    </r>
    <r>
      <rPr>
        <vertAlign val="subscript"/>
        <sz val="11"/>
        <color theme="1"/>
        <rFont val="Calibri"/>
        <family val="2"/>
        <scheme val="minor"/>
      </rPr>
      <t>D65,i</t>
    </r>
  </si>
  <si>
    <r>
      <t>k</t>
    </r>
    <r>
      <rPr>
        <vertAlign val="subscript"/>
        <sz val="11"/>
        <color theme="1"/>
        <rFont val="Calibri"/>
        <family val="2"/>
        <scheme val="minor"/>
      </rPr>
      <t>1,i</t>
    </r>
  </si>
  <si>
    <r>
      <t>k</t>
    </r>
    <r>
      <rPr>
        <vertAlign val="subscript"/>
        <sz val="11"/>
        <color theme="1"/>
        <rFont val="Calibri"/>
        <family val="2"/>
        <scheme val="minor"/>
      </rPr>
      <t>2,i</t>
    </r>
  </si>
  <si>
    <r>
      <t>k</t>
    </r>
    <r>
      <rPr>
        <vertAlign val="subscript"/>
        <sz val="11"/>
        <color theme="1"/>
        <rFont val="Calibri"/>
        <family val="2"/>
        <scheme val="minor"/>
      </rPr>
      <t>3,i</t>
    </r>
  </si>
  <si>
    <t>luminous transmittance of the glazing for standard illuminance D65</t>
  </si>
  <si>
    <r>
      <t>Table 4.3.2.8: Raw daylight supply factors for rough opening, C</t>
    </r>
    <r>
      <rPr>
        <vertAlign val="subscript"/>
        <sz val="11"/>
        <color theme="1"/>
        <rFont val="Calibri"/>
        <family val="2"/>
        <scheme val="minor"/>
      </rPr>
      <t>DL,sup,raw,i</t>
    </r>
  </si>
  <si>
    <t>Design Illuminance</t>
  </si>
  <si>
    <t>North</t>
  </si>
  <si>
    <t>East</t>
  </si>
  <si>
    <t>South</t>
  </si>
  <si>
    <t>West</t>
  </si>
  <si>
    <r>
      <t>Daylighting</t>
    </r>
    <r>
      <rPr>
        <vertAlign val="subscript"/>
        <sz val="11"/>
        <color theme="1"/>
        <rFont val="Calibri"/>
        <family val="2"/>
        <scheme val="minor"/>
      </rPr>
      <t>i</t>
    </r>
  </si>
  <si>
    <t>Primary type of daylight supply</t>
  </si>
  <si>
    <t>Primary daylight supply</t>
  </si>
  <si>
    <t>No daylight</t>
  </si>
  <si>
    <t>Sidelighting</t>
  </si>
  <si>
    <t>Toplighting</t>
  </si>
  <si>
    <r>
      <t>Azi</t>
    </r>
    <r>
      <rPr>
        <vertAlign val="subscript"/>
        <sz val="11"/>
        <color theme="1"/>
        <rFont val="Calibri"/>
        <family val="2"/>
        <scheme val="minor"/>
      </rPr>
      <t>i</t>
    </r>
  </si>
  <si>
    <t>Orientation of fenestration providing Sidelighting</t>
  </si>
  <si>
    <r>
      <t>Illu</t>
    </r>
    <r>
      <rPr>
        <vertAlign val="subscript"/>
        <sz val="11"/>
        <color theme="1"/>
        <rFont val="Calibri"/>
        <family val="2"/>
        <scheme val="minor"/>
      </rPr>
      <t>i</t>
    </r>
  </si>
  <si>
    <t>Design illuminance, lx</t>
  </si>
  <si>
    <r>
      <rPr>
        <sz val="11"/>
        <color theme="1"/>
        <rFont val="Calibri"/>
        <family val="2"/>
      </rPr>
      <t>ϒ</t>
    </r>
    <r>
      <rPr>
        <vertAlign val="subscript"/>
        <sz val="11"/>
        <color theme="1"/>
        <rFont val="Calibri"/>
        <family val="2"/>
      </rPr>
      <t>obst,i</t>
    </r>
  </si>
  <si>
    <t>angle from the centre of the fenestration to the top of the horizontal obstruction</t>
  </si>
  <si>
    <r>
      <t>k</t>
    </r>
    <r>
      <rPr>
        <vertAlign val="subscript"/>
        <sz val="11"/>
        <color theme="1"/>
        <rFont val="Calibri"/>
        <family val="2"/>
        <scheme val="minor"/>
      </rPr>
      <t>skyl,1,i</t>
    </r>
  </si>
  <si>
    <r>
      <t>k</t>
    </r>
    <r>
      <rPr>
        <vertAlign val="subscript"/>
        <sz val="11"/>
        <color theme="1"/>
        <rFont val="Calibri"/>
        <family val="2"/>
        <scheme val="minor"/>
      </rPr>
      <t>skyl,2,i</t>
    </r>
  </si>
  <si>
    <r>
      <t>k</t>
    </r>
    <r>
      <rPr>
        <vertAlign val="subscript"/>
        <sz val="11"/>
        <color theme="1"/>
        <rFont val="Calibri"/>
        <family val="2"/>
        <scheme val="minor"/>
      </rPr>
      <t>skyl,3,i</t>
    </r>
  </si>
  <si>
    <r>
      <t>D</t>
    </r>
    <r>
      <rPr>
        <vertAlign val="subscript"/>
        <sz val="11"/>
        <color theme="1"/>
        <rFont val="Calibri"/>
        <family val="2"/>
        <scheme val="minor"/>
      </rPr>
      <t>i</t>
    </r>
  </si>
  <si>
    <t>mean daylight factor for toplighting</t>
  </si>
  <si>
    <r>
      <t>A</t>
    </r>
    <r>
      <rPr>
        <vertAlign val="subscript"/>
        <sz val="11"/>
        <color theme="1"/>
        <rFont val="Calibri"/>
        <family val="2"/>
        <scheme val="minor"/>
      </rPr>
      <t>RG,i</t>
    </r>
  </si>
  <si>
    <t>area of the space, m2</t>
  </si>
  <si>
    <t>total area of rough opening of the openings providing toplighting, m2</t>
  </si>
  <si>
    <t>luminous transmittance of the roof glazing for standard illuminance D65</t>
  </si>
  <si>
    <t>factor to account for framing defined as the ratio of glazed area to overall area of the opening including area of framing, if unknown value to be set at 0.7</t>
  </si>
  <si>
    <t>factor to account for dirt accumulation, if unkown value to be set at 0.9</t>
  </si>
  <si>
    <t>factor to account for non-perpendicular light incidence, if unkown value to be set at 0.85</t>
  </si>
  <si>
    <t>factor to account for dirt accumulation, if unkown value to be set at 0.8</t>
  </si>
  <si>
    <t>factor to account for framing, defined as the ratio of glazed area to overall area of the opening including area of framing</t>
  </si>
  <si>
    <r>
      <t>A</t>
    </r>
    <r>
      <rPr>
        <vertAlign val="subscript"/>
        <sz val="11"/>
        <color theme="1"/>
        <rFont val="Calibri"/>
        <family val="2"/>
        <scheme val="minor"/>
      </rPr>
      <t>T,Rb,i</t>
    </r>
  </si>
  <si>
    <r>
      <rPr>
        <sz val="11"/>
        <color theme="1"/>
        <rFont val="Calibri"/>
        <family val="2"/>
      </rPr>
      <t>η</t>
    </r>
    <r>
      <rPr>
        <vertAlign val="subscript"/>
        <sz val="11"/>
        <color theme="1"/>
        <rFont val="Calibri"/>
        <family val="2"/>
      </rPr>
      <t>R,i</t>
    </r>
  </si>
  <si>
    <t>utilization factor</t>
  </si>
  <si>
    <t>RCR</t>
  </si>
  <si>
    <t>room cavity ratio</t>
  </si>
  <si>
    <r>
      <t>RCR</t>
    </r>
    <r>
      <rPr>
        <vertAlign val="subscript"/>
        <sz val="11"/>
        <color theme="1"/>
        <rFont val="Calibri"/>
        <family val="2"/>
        <scheme val="minor"/>
      </rPr>
      <t>i</t>
    </r>
  </si>
  <si>
    <t>H</t>
  </si>
  <si>
    <t>L</t>
  </si>
  <si>
    <t>W</t>
  </si>
  <si>
    <t>height of the space, m</t>
  </si>
  <si>
    <t>length of the space, m</t>
  </si>
  <si>
    <t>width of the space, m</t>
  </si>
  <si>
    <r>
      <t>Table 4.3.2.9.A: Daylight supply factor for toplighting, C</t>
    </r>
    <r>
      <rPr>
        <vertAlign val="subscript"/>
        <sz val="11"/>
        <color theme="1"/>
        <rFont val="Calibri"/>
        <family val="2"/>
        <scheme val="minor"/>
      </rPr>
      <t>DL,sup,i</t>
    </r>
  </si>
  <si>
    <t>Low</t>
  </si>
  <si>
    <t>Medium</t>
  </si>
  <si>
    <t>High</t>
  </si>
  <si>
    <r>
      <t>Table 4.3.2.9.B: Utilization factor, n</t>
    </r>
    <r>
      <rPr>
        <vertAlign val="subscript"/>
        <sz val="11"/>
        <color theme="1"/>
        <rFont val="Calibri"/>
        <family val="2"/>
        <scheme val="minor"/>
      </rPr>
      <t>RL,i</t>
    </r>
  </si>
  <si>
    <t>Utilization factor</t>
  </si>
  <si>
    <r>
      <t>C</t>
    </r>
    <r>
      <rPr>
        <vertAlign val="subscript"/>
        <sz val="11"/>
        <color theme="1"/>
        <rFont val="Calibri"/>
        <family val="2"/>
        <scheme val="minor"/>
      </rPr>
      <t>A,i</t>
    </r>
  </si>
  <si>
    <r>
      <t>C</t>
    </r>
    <r>
      <rPr>
        <vertAlign val="subscript"/>
        <sz val="11"/>
        <color theme="1"/>
        <rFont val="Calibri"/>
        <family val="2"/>
        <scheme val="minor"/>
      </rPr>
      <t>occ,ctrl,i</t>
    </r>
  </si>
  <si>
    <t>Space Function</t>
  </si>
  <si>
    <r>
      <t>Sf</t>
    </r>
    <r>
      <rPr>
        <vertAlign val="subscript"/>
        <sz val="11"/>
        <color theme="1"/>
        <rFont val="Calibri"/>
        <family val="2"/>
        <scheme val="minor"/>
      </rPr>
      <t>i</t>
    </r>
  </si>
  <si>
    <r>
      <t>C</t>
    </r>
    <r>
      <rPr>
        <vertAlign val="subscript"/>
        <sz val="11"/>
        <color theme="1"/>
        <rFont val="Calibri"/>
        <family val="2"/>
        <scheme val="minor"/>
      </rPr>
      <t>pers,ctrl,i</t>
    </r>
  </si>
  <si>
    <t>Atrium - First 13 m in Height</t>
  </si>
  <si>
    <t>Classroom/Lecture/Training</t>
  </si>
  <si>
    <t>Conference/Meeting/Multipurpose</t>
  </si>
  <si>
    <t>Corridor/Transition &gt;= 2.4 m wide</t>
  </si>
  <si>
    <t>Corridor/Transition &lt; 2.4 m wide</t>
  </si>
  <si>
    <t>Other</t>
  </si>
  <si>
    <t>Electrical / Mechanical</t>
  </si>
  <si>
    <t>Food Preparation</t>
  </si>
  <si>
    <t>Locker Room</t>
  </si>
  <si>
    <t>Lounge/Recreation</t>
  </si>
  <si>
    <t>Office - Enclosed</t>
  </si>
  <si>
    <t>Office - Open Plan</t>
  </si>
  <si>
    <t>Washrooms</t>
  </si>
  <si>
    <t>Sales Area</t>
  </si>
  <si>
    <t>Stairway</t>
  </si>
  <si>
    <t>Workshop</t>
  </si>
  <si>
    <t>Common Space Types</t>
  </si>
  <si>
    <r>
      <t>Realtive Absence of Occupants, C</t>
    </r>
    <r>
      <rPr>
        <vertAlign val="subscript"/>
        <sz val="11"/>
        <color theme="1"/>
        <rFont val="Calibri"/>
        <family val="2"/>
        <scheme val="minor"/>
      </rPr>
      <t>A,i</t>
    </r>
  </si>
  <si>
    <t>Table 4.3.2.10.A: Factors for relative absence of occupants and personal control according to space type</t>
  </si>
  <si>
    <r>
      <t>Personal control, C</t>
    </r>
    <r>
      <rPr>
        <vertAlign val="subscript"/>
        <sz val="11"/>
        <color theme="1"/>
        <rFont val="Calibri"/>
        <family val="2"/>
        <scheme val="minor"/>
      </rPr>
      <t>pers,ctrl,i</t>
    </r>
  </si>
  <si>
    <t>Audience/Seating Area - Permanent - For Auditorium</t>
  </si>
  <si>
    <t>Audience/Seating Area - Permanent - For Performing Arts Theatre</t>
  </si>
  <si>
    <t>Audience/Seating Area - Permanent - For Motion Picture Theatre</t>
  </si>
  <si>
    <t>Dining Area - For Bar Lounge/Leisure Dining</t>
  </si>
  <si>
    <t>Dining Area - For Family Dining</t>
  </si>
  <si>
    <t>Dining Area - Other</t>
  </si>
  <si>
    <t>Dressing/Fitting Room for Performing Arts Theatre</t>
  </si>
  <si>
    <t>Laboratory - For Classrooms</t>
  </si>
  <si>
    <t>Laboratory - For Medical/Industrial/Research</t>
  </si>
  <si>
    <t>Lobby - For Elevator</t>
  </si>
  <si>
    <t>Lobby - For Performing Arts Theatre</t>
  </si>
  <si>
    <t>Lobby - For Motion Picture Theatre</t>
  </si>
  <si>
    <t>Lobby - Other</t>
  </si>
  <si>
    <t>Storage Area</t>
  </si>
  <si>
    <t>Automotive - Service/Repair</t>
  </si>
  <si>
    <t>Bank/Office - Banking Activity Area</t>
  </si>
  <si>
    <t>Dormitory - Living Quarters</t>
  </si>
  <si>
    <t>Parking Garage - Garage Area</t>
  </si>
  <si>
    <t>Post Office - Sorting Area</t>
  </si>
  <si>
    <t>Convention Centre - Audience Seating</t>
  </si>
  <si>
    <t>Convention Centre - Exhibit Space</t>
  </si>
  <si>
    <t>Courthouse/Police Station/Penitentiary - Courtroom</t>
  </si>
  <si>
    <t>Courthouse/Police Station/Penitentiary - Confinement Cell</t>
  </si>
  <si>
    <t>Courthouse/Police Station/Penitentiary - Judges' Chambers</t>
  </si>
  <si>
    <t>Courthouse/Police Station/Penitentiary - Penitentiary Audience Seating</t>
  </si>
  <si>
    <t>Courthouse/Police Station/Penitentiary - Penitentiary Classroom</t>
  </si>
  <si>
    <t>Courthouse/Police Station/Penitentiary - Penitentiary Dining</t>
  </si>
  <si>
    <t>Fire Stations - Engine Room</t>
  </si>
  <si>
    <t>Fire Stations - Sleeping Quarters</t>
  </si>
  <si>
    <t>Gymnasium/Fitness Centre - Fitness Area</t>
  </si>
  <si>
    <t>Gymnasium/Fitness Centre - Playing Area</t>
  </si>
  <si>
    <t>Gymnasium/Fitness Centre - Audience Seating</t>
  </si>
  <si>
    <t>Hospital - Corridor/Transition ≥ 2.4 m wide</t>
  </si>
  <si>
    <t>Hospital - Corridor/Transition &lt; 2.4 m wide</t>
  </si>
  <si>
    <t>Hospital - Emergency</t>
  </si>
  <si>
    <t>Hospital - Exam/Treatment</t>
  </si>
  <si>
    <t>Hospital - Laundry - Washing</t>
  </si>
  <si>
    <t>Hospital - Lounge/Recreation</t>
  </si>
  <si>
    <t>Hospital - Medical Supply</t>
  </si>
  <si>
    <t>Hospital - Nursery</t>
  </si>
  <si>
    <t>Hospital - Nurses' Station</t>
  </si>
  <si>
    <t>Hospital - Operating Room</t>
  </si>
  <si>
    <t>Hospital - Patient Room</t>
  </si>
  <si>
    <t>Hospital - Pharmacy</t>
  </si>
  <si>
    <t>Hospital - Physical Therapy</t>
  </si>
  <si>
    <t>Hospital - Radiology/Imaging</t>
  </si>
  <si>
    <t>Hospital - Recovery</t>
  </si>
  <si>
    <t>Hotel/Motel - Hotel Dining</t>
  </si>
  <si>
    <t>Hotel/Motel - Hotel Guest Rooms</t>
  </si>
  <si>
    <t>Hotel/Motel - Hotel Lobby</t>
  </si>
  <si>
    <t>Hotel/Motel - Highway Lodging Dining</t>
  </si>
  <si>
    <t>Hotel/Motel - Highway Lodging Guest Rooms</t>
  </si>
  <si>
    <t>Library - Card File and Cataloging</t>
  </si>
  <si>
    <t>Library - Reading Area</t>
  </si>
  <si>
    <t>Library - Stacks</t>
  </si>
  <si>
    <t>Manufacturing - Corridor/Transition ≥ 2.4 m wide</t>
  </si>
  <si>
    <t>Manufacturing - Corridor/Transition &lt; 2.4 m wide</t>
  </si>
  <si>
    <t>Manufacturing - Detailed Manufacturing</t>
  </si>
  <si>
    <t>Manufacturing - Equipment Room</t>
  </si>
  <si>
    <t>Manufacturing - Extra High Bay (&gt; 15 m floor to ceiling height)</t>
  </si>
  <si>
    <t>Manufacturing - High Bay (7.5 m to 15 m floor to ceiling height)</t>
  </si>
  <si>
    <t>Manufacturing - Low Bay (&lt; 7.5 m floor to ceiling height)</t>
  </si>
  <si>
    <t>Museum - General Exhibition</t>
  </si>
  <si>
    <t>Museum - Restoration</t>
  </si>
  <si>
    <t>Religious Buildings - Audience Seating</t>
  </si>
  <si>
    <t>Religious Buildings - Fellowship Hall</t>
  </si>
  <si>
    <t>Religious Buildings - Worship Pulpit, Choir</t>
  </si>
  <si>
    <t>Retail - Dressing/Fitting Room</t>
  </si>
  <si>
    <t>Retail - Mall Concourse</t>
  </si>
  <si>
    <t>Retail - Sales Area</t>
  </si>
  <si>
    <t>Sports Arena - Audience Seating</t>
  </si>
  <si>
    <t>Sports Arena - Court Sports Area - Class 4</t>
  </si>
  <si>
    <t>Sports Arena - Court Sports Area - Class 3</t>
  </si>
  <si>
    <t>Sports Arena - Court Sports Area - Class 2</t>
  </si>
  <si>
    <t>Sports Arena - Court Sports Area - Class 1</t>
  </si>
  <si>
    <t>Sports Arena - Ring Sports Area</t>
  </si>
  <si>
    <t>Transportation - Air/Train/Bus - Baggage Area</t>
  </si>
  <si>
    <t>Transportation - Airport - Concourse</t>
  </si>
  <si>
    <t>Transportation - Seating area</t>
  </si>
  <si>
    <t>Transportation - Terminal - Ticket Counter</t>
  </si>
  <si>
    <t>Warehouse - Fine Material Storage</t>
  </si>
  <si>
    <t>Warehouse - Medium/Bulky Material</t>
  </si>
  <si>
    <t>Warehouse - Medium/Bulky Material with permanent shelving &gt; 60% of ceiling height</t>
  </si>
  <si>
    <r>
      <t>Table 4.3.2.10.B: Factor to account for occupancy-sensing mechanism, C</t>
    </r>
    <r>
      <rPr>
        <vertAlign val="subscript"/>
        <sz val="11"/>
        <color theme="1"/>
        <rFont val="Calibri"/>
        <family val="2"/>
        <scheme val="minor"/>
      </rPr>
      <t>occ,ctrl,i</t>
    </r>
  </si>
  <si>
    <t>Occupancy sensing mechanism</t>
  </si>
  <si>
    <r>
      <t>OSM</t>
    </r>
    <r>
      <rPr>
        <vertAlign val="subscript"/>
        <sz val="11"/>
        <color theme="1"/>
        <rFont val="Calibri"/>
        <family val="2"/>
        <scheme val="minor"/>
      </rPr>
      <t>i</t>
    </r>
  </si>
  <si>
    <t>Occupancy-sensing mechnism type</t>
  </si>
  <si>
    <r>
      <t>E</t>
    </r>
    <r>
      <rPr>
        <vertAlign val="subscript"/>
        <sz val="11"/>
        <color theme="1"/>
        <rFont val="Calibri"/>
        <family val="2"/>
        <scheme val="minor"/>
      </rPr>
      <t>i,prescriptive</t>
    </r>
  </si>
  <si>
    <r>
      <t>LPD</t>
    </r>
    <r>
      <rPr>
        <vertAlign val="subscript"/>
        <sz val="11"/>
        <color theme="1"/>
        <rFont val="Calibri"/>
        <family val="2"/>
        <scheme val="minor"/>
      </rPr>
      <t>i</t>
    </r>
  </si>
  <si>
    <t>Table 4.2.1.6: Lighting power density using the space-by space method</t>
  </si>
  <si>
    <t>Lighting Power Density</t>
  </si>
  <si>
    <r>
      <t>AH</t>
    </r>
    <r>
      <rPr>
        <vertAlign val="subscript"/>
        <sz val="11"/>
        <color theme="1"/>
        <rFont val="Calibri"/>
        <family val="2"/>
        <scheme val="minor"/>
      </rPr>
      <t>i</t>
    </r>
  </si>
  <si>
    <t>Atrium Height, m</t>
  </si>
  <si>
    <t>Atrium</t>
  </si>
  <si>
    <r>
      <t>Side</t>
    </r>
    <r>
      <rPr>
        <vertAlign val="subscript"/>
        <sz val="11"/>
        <color theme="1"/>
        <rFont val="Calibri"/>
        <family val="2"/>
        <scheme val="minor"/>
      </rPr>
      <t>excl,i</t>
    </r>
  </si>
  <si>
    <t>Excluded from the prescibed automatic control</t>
  </si>
  <si>
    <t>Yes</t>
  </si>
  <si>
    <t>No</t>
  </si>
  <si>
    <t>Choice</t>
  </si>
  <si>
    <r>
      <t>Top</t>
    </r>
    <r>
      <rPr>
        <vertAlign val="subscript"/>
        <sz val="11"/>
        <color theme="1"/>
        <rFont val="Calibri"/>
        <family val="2"/>
        <scheme val="minor"/>
      </rPr>
      <t>excl,i</t>
    </r>
  </si>
  <si>
    <t>Classrooms and lecture halls, excluding shop and laboratory classrooms</t>
  </si>
  <si>
    <t>Conference, meeting, and training rooms</t>
  </si>
  <si>
    <t>Employee lunch and break rooms</t>
  </si>
  <si>
    <t>Storage and supply rooms up to 100 m2</t>
  </si>
  <si>
    <t>Rooms used for document copying and printing</t>
  </si>
  <si>
    <t>Office spaces up to 25 m2</t>
  </si>
  <si>
    <t>Dressing, locker, and fitting rooms</t>
  </si>
  <si>
    <t>Lighting Controls in Enclosed Spaces</t>
  </si>
  <si>
    <r>
      <t>EncSp</t>
    </r>
    <r>
      <rPr>
        <vertAlign val="subscript"/>
        <sz val="11"/>
        <color theme="1"/>
        <rFont val="Calibri"/>
        <family val="2"/>
        <scheme val="minor"/>
      </rPr>
      <t>i</t>
    </r>
  </si>
  <si>
    <t>Enclosed Space</t>
  </si>
  <si>
    <r>
      <t>EncSpType</t>
    </r>
    <r>
      <rPr>
        <vertAlign val="subscript"/>
        <sz val="11"/>
        <color theme="1"/>
        <rFont val="Calibri"/>
        <family val="2"/>
        <scheme val="minor"/>
      </rPr>
      <t>i</t>
    </r>
  </si>
  <si>
    <t>Enclosed Space Function</t>
  </si>
  <si>
    <t>Units</t>
  </si>
  <si>
    <t>SI</t>
  </si>
  <si>
    <t>IP</t>
  </si>
  <si>
    <t>Français</t>
  </si>
  <si>
    <t>English</t>
  </si>
  <si>
    <t>Pass_Fail</t>
  </si>
  <si>
    <t>Lighting system deemed to comply with Section 4.3</t>
  </si>
  <si>
    <t>Lighting system does not comply with Section 4.3</t>
  </si>
  <si>
    <t>IILE</t>
  </si>
  <si>
    <t>ILEA</t>
  </si>
  <si>
    <t>Space #</t>
  </si>
  <si>
    <t>Space name</t>
  </si>
  <si>
    <t>Proposed</t>
  </si>
  <si>
    <t>Reference</t>
  </si>
  <si>
    <t>lighting power, W</t>
  </si>
  <si>
    <t>Daylight system control</t>
  </si>
  <si>
    <t>luminous transmittance of the glazing</t>
  </si>
  <si>
    <t>Framing Factor</t>
  </si>
  <si>
    <t>Dirt accumulation factor</t>
  </si>
  <si>
    <t>Non-perpendicular light incidence Factor</t>
  </si>
  <si>
    <t>Angle to top horizontal obstruction</t>
  </si>
  <si>
    <t>Warning:</t>
  </si>
  <si>
    <t>Area</t>
  </si>
  <si>
    <t>ft2</t>
  </si>
  <si>
    <t>Length</t>
  </si>
  <si>
    <t>ft</t>
  </si>
  <si>
    <t>m</t>
  </si>
  <si>
    <t>factor</t>
  </si>
  <si>
    <t>Illuminance</t>
  </si>
  <si>
    <t>lx</t>
  </si>
  <si>
    <t>fc</t>
  </si>
  <si>
    <t>French</t>
  </si>
  <si>
    <t>Manuel</t>
  </si>
  <si>
    <t>Automatique</t>
  </si>
  <si>
    <t>Deux niveaux</t>
  </si>
  <si>
    <t>Aucun</t>
  </si>
  <si>
    <t>Espace #</t>
  </si>
  <si>
    <t>Fonction</t>
  </si>
  <si>
    <t># of Spaces</t>
  </si>
  <si>
    <t>Current Language (1: English, 0: French)</t>
  </si>
  <si>
    <t>Oui</t>
  </si>
  <si>
    <t>Non</t>
  </si>
  <si>
    <t>Nord</t>
  </si>
  <si>
    <t>Est</t>
  </si>
  <si>
    <t>Sud</t>
  </si>
  <si>
    <t>Ouest</t>
  </si>
  <si>
    <t>Incomplete data entry</t>
  </si>
  <si>
    <t>Données d'entrée incomplètes</t>
  </si>
  <si>
    <t>Selected</t>
  </si>
  <si>
    <t>pi2</t>
  </si>
  <si>
    <t>pi</t>
  </si>
  <si>
    <t>General</t>
  </si>
  <si>
    <t>Current units (1: SI, 0 : IP)</t>
  </si>
  <si>
    <t>Intro</t>
  </si>
  <si>
    <t>Menu Titles</t>
  </si>
  <si>
    <t>Help</t>
  </si>
  <si>
    <t>Nom de l'espace</t>
  </si>
  <si>
    <t>Occupancy-sensing mechanism type</t>
  </si>
  <si>
    <t>Type de détecteur d'occupation</t>
  </si>
  <si>
    <t>Puissance d'éclairage, W</t>
  </si>
  <si>
    <t>Horaire d'opération - Début</t>
  </si>
  <si>
    <t>Horaire d'opération - Fin</t>
  </si>
  <si>
    <t>Source primaire d'éclairage naturel</t>
  </si>
  <si>
    <t>Salles de conférence, réunion et de formation</t>
  </si>
  <si>
    <t>Autre</t>
  </si>
  <si>
    <t>Angle relatif à l'obstruction horizontale</t>
  </si>
  <si>
    <t>5555 street AAA</t>
  </si>
  <si>
    <t>Gradins/estrades - permanents - auditoriums</t>
  </si>
  <si>
    <t>Gradins/estrades - permanents - cinémas</t>
  </si>
  <si>
    <t>Gradins/estrades - permanents - théatres</t>
  </si>
  <si>
    <t>Salles de classe/cours/formation</t>
  </si>
  <si>
    <t>Salles de conférence/réunion/polyvalentes</t>
  </si>
  <si>
    <t>Corridor/aires de transition &gt;= 2,4 m de largeur</t>
  </si>
  <si>
    <t>Corridor/aires de transition &lt; 2,4 m de largeur</t>
  </si>
  <si>
    <t>Salle à manger - restaurants familiaux</t>
  </si>
  <si>
    <t>Salle à manger - autres</t>
  </si>
  <si>
    <t>Salle à manger - salons-bars/restaurants de détente</t>
  </si>
  <si>
    <t>Loges/cabines d'essayage pour les théatres</t>
  </si>
  <si>
    <t>Salles de toilettes</t>
  </si>
  <si>
    <t>Vestiaires</t>
  </si>
  <si>
    <t>Escaliers</t>
  </si>
  <si>
    <t>Aires des installations mécaniques/électriques</t>
  </si>
  <si>
    <t>Aires de préparation des aliments</t>
  </si>
  <si>
    <t>Aires de détente/loisirs</t>
  </si>
  <si>
    <t>Bureaux fermés</t>
  </si>
  <si>
    <t>Bureaux à aire ouverte</t>
  </si>
  <si>
    <t>Aires de ventes</t>
  </si>
  <si>
    <t>Aires d'entreposage</t>
  </si>
  <si>
    <t>Ateliers</t>
  </si>
  <si>
    <t>Halls pour les ascenceurs</t>
  </si>
  <si>
    <t>Halls pour les théatres</t>
  </si>
  <si>
    <t>Halls pour les cinémas</t>
  </si>
  <si>
    <t>Halls - autre</t>
  </si>
  <si>
    <t>Laboratoires pour les salles de cours</t>
  </si>
  <si>
    <t>Laboratoires - usages médicaux/industriels/recherche</t>
  </si>
  <si>
    <t>Ateliers de mécanique automobile - garages de réparation</t>
  </si>
  <si>
    <t>Banques - comptoirs de service et bureaux</t>
  </si>
  <si>
    <t>Arénas - Aires de sports de raquette - classe 4</t>
  </si>
  <si>
    <t>Arénas - Aires de sports de raquette - classe 3</t>
  </si>
  <si>
    <t>Arénas - Aires de sports de raquette - classe 2</t>
  </si>
  <si>
    <t>Arénas - Aires de sports de raquette - classe 1</t>
  </si>
  <si>
    <t>Arénas - Aires de sports de ring</t>
  </si>
  <si>
    <t>Transports - consignes d'aéroport/gare ferroviaire et routière</t>
  </si>
  <si>
    <t>Transports - halls d'aéroport</t>
  </si>
  <si>
    <t>Transports - aires d'attente</t>
  </si>
  <si>
    <t>Transports - billeteries</t>
  </si>
  <si>
    <t>Entrepôts - menus objets</t>
  </si>
  <si>
    <t>Entrepôts - objets moyens/encombrants</t>
  </si>
  <si>
    <t>Entrepôts - objets moyens/encombrants avec étagères permanentes &gt; 60% de la hauteur sous plafond</t>
  </si>
  <si>
    <t>Magasins de vente au détail - cabines d'essayage</t>
  </si>
  <si>
    <t>Magasins de vente au détail - promenades de centre commercial</t>
  </si>
  <si>
    <t>Magasins de vente au détail - aires de vente</t>
  </si>
  <si>
    <t>Arénas - gradins</t>
  </si>
  <si>
    <t>Lieux de culte - nefs</t>
  </si>
  <si>
    <t>Lieux de culte - salles paroissiales</t>
  </si>
  <si>
    <t>Lieux de culte - chaires, chorales</t>
  </si>
  <si>
    <t>Bureaux de poste - aires de tri</t>
  </si>
  <si>
    <t>Garages de stationnement - aires de garage</t>
  </si>
  <si>
    <t>Musées - exposition générales</t>
  </si>
  <si>
    <t>Musées - restauration</t>
  </si>
  <si>
    <t>Établissements de fabrication - corridors/aires de transition ≥ 2,4 m de largeur</t>
  </si>
  <si>
    <t>Établissements de fabrication - corridors/aires de transition &lt; 2,4 m de largeur</t>
  </si>
  <si>
    <t>Établissements de fabrication - fabrication détaillée</t>
  </si>
  <si>
    <t>Établissements de fabrication - salles d'équipement</t>
  </si>
  <si>
    <t>Établissements de fabrication - baies ultra-hautes (&gt; 15 m du plancher au plafond)</t>
  </si>
  <si>
    <t>Établissements de fabrication - baies hautes (7,5 à 15 m du plancher au plafond)</t>
  </si>
  <si>
    <t>Établissements de fabrication - baies basses (&lt; 7,5 m du plancher au plafond)</t>
  </si>
  <si>
    <t>Bibliothèques - fichiers et catalogues</t>
  </si>
  <si>
    <t>Bibliothèques - aires de lecture</t>
  </si>
  <si>
    <t>Bibliothèques - rayons</t>
  </si>
  <si>
    <t>Hôtels/Motels - salles à manger d'hôtel</t>
  </si>
  <si>
    <t>Hôtels/Motels - chambres d'hôtel</t>
  </si>
  <si>
    <t>Hôtels/Motels - halls d'hôtel</t>
  </si>
  <si>
    <t>Hôtels/Motels - salles à manger de halte routière</t>
  </si>
  <si>
    <t>Hôtels/Motels - chambres de halte routière</t>
  </si>
  <si>
    <t>Hôpitaux - corridors/aires de transition &lt; 2,4 m de largeur</t>
  </si>
  <si>
    <t>Hôpitaux - corridors/aires de transition ≥ 2,4 m de largeur</t>
  </si>
  <si>
    <t>Hôpitaux - urgences</t>
  </si>
  <si>
    <t>Hôpitaux - salles d'examen/traitement</t>
  </si>
  <si>
    <t>Hôpitaux - buanderies</t>
  </si>
  <si>
    <t>Hôpitaux - magasins de fournitures médicales</t>
  </si>
  <si>
    <t>Hôpitaux - pouponnières</t>
  </si>
  <si>
    <t>Hôpitaux - postes d'infirmières</t>
  </si>
  <si>
    <t>Hôpitaux - salles d'opération</t>
  </si>
  <si>
    <t>Hôpitaux - chambres de patient</t>
  </si>
  <si>
    <t>Hôpitaux - pharmacies</t>
  </si>
  <si>
    <t>Hôpitaux - locaux de physiothérapie</t>
  </si>
  <si>
    <t>Hôpitaux - locaux de radiologie/imagerie</t>
  </si>
  <si>
    <t>Hôpitaux - salles de réveil</t>
  </si>
  <si>
    <t>Hôpitaux - salles de détente/loisirs</t>
  </si>
  <si>
    <t>Dortoires - locaux d'habitation</t>
  </si>
  <si>
    <t>Centres des congrès - auditoriums</t>
  </si>
  <si>
    <t>Centres des congrès - salles d'exposition</t>
  </si>
  <si>
    <t>Casernes de pompiers - garages</t>
  </si>
  <si>
    <t>Casernes de pompiers - locaux de dortoirs</t>
  </si>
  <si>
    <t>Gymnases/centres de conditionnement physique - aires de conditionnement physique</t>
  </si>
  <si>
    <t>Gymnases/centres de conditionnement physique - gradins</t>
  </si>
  <si>
    <t>Gymnases/centres de conditionnement physique - aires de jeu</t>
  </si>
  <si>
    <t>Latéral</t>
  </si>
  <si>
    <t>Zénithal</t>
  </si>
  <si>
    <t>Manuelle</t>
  </si>
  <si>
    <t>Gradation</t>
  </si>
  <si>
    <t>Commutation</t>
  </si>
  <si>
    <t>Salles de cours ou auditoriums, excluant les ateliers et laboratoires</t>
  </si>
  <si>
    <t>Caféterias et salles de pause des employés</t>
  </si>
  <si>
    <t>Locaux d'entreposage et de fourniture de 100 m2 ou moins</t>
  </si>
  <si>
    <t>Locaux utiliser pour photocopier et impromer des documents</t>
  </si>
  <si>
    <t>Bureaux de 25 m2 ou moins</t>
  </si>
  <si>
    <t>Vestaires et cabines d'essayage</t>
  </si>
  <si>
    <t>Fonction de l'espace clos</t>
  </si>
  <si>
    <t>Système de commande pour l'éclairage naturel</t>
  </si>
  <si>
    <t>Control factor for daylighting</t>
  </si>
  <si>
    <t>Type de commande pour l'éclairage naturel</t>
  </si>
  <si>
    <t>Orientation du fenêtrage fournissant l'éclairage naturel latéral</t>
  </si>
  <si>
    <t>Facteur pour le cadre</t>
  </si>
  <si>
    <t>Facteur pour l'accumulation de saleté</t>
  </si>
  <si>
    <t>Facteur pour l'angle d'incidence non perpendiculaire</t>
  </si>
  <si>
    <t>Atrium Height - m</t>
  </si>
  <si>
    <t>Gross interior floor area - m2</t>
  </si>
  <si>
    <t>Daylighted area - m2</t>
  </si>
  <si>
    <t>Design illuminance - lx</t>
  </si>
  <si>
    <t>Total area of rough opening for toplighting - m2</t>
  </si>
  <si>
    <t>Height of the space - m</t>
  </si>
  <si>
    <t>Length of the space - m</t>
  </si>
  <si>
    <t>Width of the space - m</t>
  </si>
  <si>
    <t>Specify the gross interior floor area of the space</t>
  </si>
  <si>
    <t>Puissance d'éclairage installée totale dans l'espace visé.</t>
  </si>
  <si>
    <t>Volume essentiellement entouré de surfaces pleines, comme des murs ou cloisons pleine hauteur, des planchers, des plafonds et des dispositifs ouvrables comme des portes et des fenêtres mobiles.</t>
  </si>
  <si>
    <t>Aire de l'espace visé qui est éclairée naturellement. Se référer aux sections 4.2.2.5, 4.2.2.6 et 4.2.2.9 du CNÉB pour la méthode de calcul de cette aire.</t>
  </si>
  <si>
    <t>Transmittance lumineuse effective du fenêtrage</t>
  </si>
  <si>
    <t>Single Clear</t>
  </si>
  <si>
    <t>Single Low Iron</t>
  </si>
  <si>
    <t>Single Tint Bronze</t>
  </si>
  <si>
    <t>Single Tint Green</t>
  </si>
  <si>
    <t>Single Tint Grey</t>
  </si>
  <si>
    <t>Single Tint Blue</t>
  </si>
  <si>
    <t>Single Low-E Clear (e2=.4)</t>
  </si>
  <si>
    <t>Single Low-E Clear (e2=.2)</t>
  </si>
  <si>
    <t>Single Electrochromic Absorbing Bleached/Colored</t>
  </si>
  <si>
    <t>Single Electrochromic Reflecting Bleached/Colored</t>
  </si>
  <si>
    <t>Double Clear</t>
  </si>
  <si>
    <t>Double Low Iron</t>
  </si>
  <si>
    <t>Double Tint Bronze</t>
  </si>
  <si>
    <t>Double Tint Green</t>
  </si>
  <si>
    <t>Double Tint Grey</t>
  </si>
  <si>
    <t>Double Tint Blue</t>
  </si>
  <si>
    <t>Double Low-E (e3=.4) Clear</t>
  </si>
  <si>
    <t>Double Low-E (e3=.2) Clear</t>
  </si>
  <si>
    <t>Double Low-E (e2=.1) Clear</t>
  </si>
  <si>
    <t>Double Low-E (e2=.1) Tint</t>
  </si>
  <si>
    <t>Double Low-E (e3=.1) Clear</t>
  </si>
  <si>
    <t>Double Low-E (e2=.04) Clear</t>
  </si>
  <si>
    <t>Double Low-E (e3=.04) Clear</t>
  </si>
  <si>
    <t>Double Low-E (e2=.04) Tint</t>
  </si>
  <si>
    <t>Double Electrochromic Absorbing Bleached/Colored, 6.3-mm Gap</t>
  </si>
  <si>
    <t>Double Electrochromic Absorbing Bleached/Colored, 12.7-mm Gap</t>
  </si>
  <si>
    <t>Double Electrochromic Absorbing Bleached/Colored, 12.7-mm Gap, Argon</t>
  </si>
  <si>
    <t>Double Electrochromic Reflecting Bleached/Colored, 6.3-mm Gap</t>
  </si>
  <si>
    <t>Double Electrochromic Reflecting Bleached/Colored, 12.7-mm Gap</t>
  </si>
  <si>
    <t>Double Electrochromic Reflecting Bleached/Colored, 12.7-mm Gap, Argon</t>
  </si>
  <si>
    <t>Double Low-E (e2=.029) Electrochromic Absorbing Bleached/Colored, 6.3-mm Gap</t>
  </si>
  <si>
    <t>Double Low-E (e2=.029) Electrochromic Absorbing Bleached/Colored, 12.7-mm Gap</t>
  </si>
  <si>
    <t>Double Low-E (e2=.029) Electrochromic Absorbing Bleached/Colored, 12.7-mm Gap, Argon</t>
  </si>
  <si>
    <t>Double Low-E (e2=.029) Electrochromic Reflecting Bleached/Colored, 6.3-mm Gap</t>
  </si>
  <si>
    <t>Double Low-E (e2=.029) Electrochromic Reflecting Bleached/Colored, 12.7-mm Gap</t>
  </si>
  <si>
    <t>Double Low-E (e2=.029) Electrochromic Reflecting Bleached/Colored, 12.7-mm Gap, Argon</t>
  </si>
  <si>
    <t>Triple Clear</t>
  </si>
  <si>
    <t>Triple Low-E (e5=.1) Clear</t>
  </si>
  <si>
    <t>Triple Low-E (e2=e5=.1) Clear</t>
  </si>
  <si>
    <t>Triple Low-E Film (88) Clear</t>
  </si>
  <si>
    <t>Triple Low-E Film (77) Clear</t>
  </si>
  <si>
    <t>Triple Low-E Film (66) Clear</t>
  </si>
  <si>
    <t>Triple Low-E Film (66) Tint</t>
  </si>
  <si>
    <t>Triple Low-E Film (55) Clear</t>
  </si>
  <si>
    <t>Triple Low-E Film (55) Tint</t>
  </si>
  <si>
    <t>Triple Low-E Film (44) Tint</t>
  </si>
  <si>
    <t>Triple Low-E Film (33) Tint</t>
  </si>
  <si>
    <t>Quadruple, Two Low-E Glass, Two Low-E Film, Clear. Krypton</t>
  </si>
  <si>
    <t>Type of glazing</t>
  </si>
  <si>
    <t>n/a</t>
  </si>
  <si>
    <t>Air</t>
  </si>
  <si>
    <t>Argon</t>
  </si>
  <si>
    <t>Krypton</t>
  </si>
  <si>
    <t>Gap Thickness</t>
  </si>
  <si>
    <t>Gap Gas Fill</t>
  </si>
  <si>
    <t>Luminous transmittance of the glazing</t>
  </si>
  <si>
    <t>Reports</t>
  </si>
  <si>
    <t>Nom du projet :</t>
  </si>
  <si>
    <t>Project Name:</t>
  </si>
  <si>
    <t>Project Address:</t>
  </si>
  <si>
    <t>Nom du soumissionaire :</t>
  </si>
  <si>
    <t>Applicant Name:</t>
  </si>
  <si>
    <t>Adresse du soumissionaire :</t>
  </si>
  <si>
    <t>Applicant Address:</t>
  </si>
  <si>
    <t>Téléphone du soumissionaire :</t>
  </si>
  <si>
    <t>Applicant Phone:</t>
  </si>
  <si>
    <t>Information général</t>
  </si>
  <si>
    <t>General information</t>
  </si>
  <si>
    <t>Date des plans :</t>
  </si>
  <si>
    <t>Date of plans:</t>
  </si>
  <si>
    <t>Superficie de plancher des zones climatisées :</t>
  </si>
  <si>
    <t>Building conditioned Floor area:</t>
  </si>
  <si>
    <t>Degrés-jours de chauffage au lieu du bâtiment :</t>
  </si>
  <si>
    <t>Building Location Heating Degree-Days:</t>
  </si>
  <si>
    <t>Degrés-jours de refroidissement au lieu du bâtiment :</t>
  </si>
  <si>
    <t>Building Location Cooling Degree-Days:</t>
  </si>
  <si>
    <r>
      <t>Coefficient global HVAC-</t>
    </r>
    <r>
      <rPr>
        <vertAlign val="subscript"/>
        <sz val="10"/>
        <rFont val="Arial"/>
        <family val="2"/>
      </rPr>
      <t>TOI</t>
    </r>
    <r>
      <rPr>
        <sz val="10"/>
        <rFont val="Arial"/>
        <family val="2"/>
      </rPr>
      <t xml:space="preserve"> :</t>
    </r>
  </si>
  <si>
    <r>
      <t>Overall HVAC-</t>
    </r>
    <r>
      <rPr>
        <vertAlign val="subscript"/>
        <sz val="10"/>
        <rFont val="Arial"/>
        <family val="2"/>
      </rPr>
      <t>TOI</t>
    </r>
    <r>
      <rPr>
        <sz val="10"/>
        <rFont val="Arial"/>
        <family val="2"/>
      </rPr>
      <t>:</t>
    </r>
  </si>
  <si>
    <t>Nombre de systèmes conformes :</t>
  </si>
  <si>
    <t>Number of Compliant Systems:</t>
  </si>
  <si>
    <t>Nombre de systèmes non conformes :</t>
  </si>
  <si>
    <t>Number of non-Compliant Systems:</t>
  </si>
  <si>
    <t>Déclaration de conformité</t>
  </si>
  <si>
    <t>Statement of Compliance</t>
  </si>
  <si>
    <t>Code national de l'énergie pour les bâtiments</t>
  </si>
  <si>
    <t>National Energy Code for Buildings</t>
  </si>
  <si>
    <t>Auteur de la documentation</t>
  </si>
  <si>
    <t>Documentation Author</t>
  </si>
  <si>
    <t>J’affirme par les présentes que je suis éligible, en vertu des dispositions des autorités compétentes, à signer ce document à titre de responsable de sa préparation et que je détiens le titre d’ingénieur civil, d’ingénieur en mécanique, d’ingénieur en électrique ou d’architecte.</t>
  </si>
  <si>
    <t>I hereby affirm that I am eligible, under the provisions of the authorities having jurisdiction, to sign this document as the person responsible for its preparation; and that I am licensed as a civil engineer, mechanical engineer, electrical engineer or architect.</t>
  </si>
  <si>
    <t>J’affirme que j’ai le droit de signer ce document à titre de responsable de sa préparation; et pour la raison suivante</t>
  </si>
  <si>
    <t xml:space="preserve">I affirm that I am eligible to sign this document as the person responsible for its preparation; and for the following reason: </t>
  </si>
  <si>
    <t>Professionnel chargé de la coordination :</t>
  </si>
  <si>
    <t>Coordinating Professional:</t>
  </si>
  <si>
    <t>Date :</t>
  </si>
  <si>
    <t>Date:</t>
  </si>
  <si>
    <t>Signature :</t>
  </si>
  <si>
    <t>Signature:</t>
  </si>
  <si>
    <t>Cochez une</t>
  </si>
  <si>
    <t>Check One</t>
  </si>
  <si>
    <t>Résultats sommaires de conformité</t>
  </si>
  <si>
    <t>Summary compliance results</t>
  </si>
  <si>
    <t>Ce certificat de conformité énumère les caractéristiques du bâtiment selon les dessins et devis soumis pour le permis de construction selon la partie 4.3 du Code national de l’énergie pour les bâtiments</t>
  </si>
  <si>
    <t xml:space="preserve">This Certificate of Compliance lists the Building features as per actual building permit drawings and specifications in accordance with Part 4.3 of the National Energy Code for Buildings. </t>
  </si>
  <si>
    <t>Number of space defined in the Building:</t>
  </si>
  <si>
    <t>Nombre d'espaces définis dans le bâtiment :</t>
  </si>
  <si>
    <t>Définir un nom unique pour l'espace visé. Une documentation sur les pièces réelles se retrouvant dans cet espace devrait être conservée aux fins d'une vérification possible de la conformité.</t>
  </si>
  <si>
    <t>Entrer la hauteur de l'atrium afin de permettre le calcul de la densité de puissance d'éclairage prescriptive.</t>
  </si>
  <si>
    <t>Entrer l'aire brute de plancher intérieur de l'espace.</t>
  </si>
  <si>
    <t>Select the space function that most closely match the actual main space function of the space being defined, as per Table 4.2.1.6 of the NECB.</t>
  </si>
  <si>
    <t>Heure de début de la période journalière d'éclairage dans l'espace visé, tel qu'indiqué au tableau 4.3.3.6.A du CNÉB.</t>
  </si>
  <si>
    <t>Lighting operation ending hour for the space, as per Table 4.3.3.6.B of the NECB.</t>
  </si>
  <si>
    <t>Heure de fin de la période journalière d'éclairage dans l'espace visé, tel qu'indiqué au tableau 4.3.3.6.B du CNÉB.</t>
  </si>
  <si>
    <t>Total installed lighting power in the space.</t>
  </si>
  <si>
    <t>Specify if the occupancy-sensing mechanism is automatic or manual, as per Table 4.3.2.10.B of the NECB.</t>
  </si>
  <si>
    <t>Specify if the type of daylight control used, as per Table 4.3.2.7.B of the NECB.</t>
  </si>
  <si>
    <t>Transmittance lumineuse effective du fenêtrage fournissant l'éclairage naturel, selon l'article 4.3.2.8 du CNÉB.</t>
  </si>
  <si>
    <t>Entrer l'orientation du fenêtrage fournissant l'éclairage latéral selon l'article 4.3.2.8 et le tableau 4.3.2.8 du CNÉB.</t>
  </si>
  <si>
    <t>Le facteur pour le cadre est défini comme le rapport entre l'aire vitrée et l'aire totale de l'ouverture, y compris l'aire du cadre. Uniquement dans le cas de l'éclairage zénithal ce facteur peut être défini à 0.7 lorsqu'il n'est pas connu. Se référer aux articles 4.3.2.8 et 4.3.2.9 du CNÉB.</t>
  </si>
  <si>
    <t>Ce facteur est défini pour tenir compte de l'incidence de la lumière non perpendiculaire. Si inconnu, ce facteur doit être établi à 0.85. Se référer aux articles 4.3.2.8 et 4.3.2.9 du CNÉB.</t>
  </si>
  <si>
    <t>The Installed Interior Lighting Energy, which is the total annual energy consumption of interior lighting in the spaces of the Proposed Building. The IILE must be equal or lower to the ILEA for a building to be compliant to section 4.3 of the NECB.</t>
  </si>
  <si>
    <t>The Interior Lighting Energy Allowance is the maximum allowed annual energy consumption of all interior lighting complying with the prescriptive lighting power densities determined using the space-by-space method in Article 4.2.1.6 and with the prescriptive lighting controls of Subsection 4.2.2 of the NECB.</t>
  </si>
  <si>
    <t>Enter the orientation of the fenestration providing sidelighting as per Article 4.3.2.8 and table 4.3.2.8 of the NECB.</t>
  </si>
  <si>
    <t>This factor accounts for non-perpendicular light incidence. If unknown, this factor is to be set to 0.85. See Articles 4.3.2.8  and 4.3.2.9 of the NECB.</t>
  </si>
  <si>
    <t>L'énergie admissible de l'éclairage intérieur, ILEA, représente la consommation annuelle d'énergie maximale permise pour l'ensemble de l'éclairage intérieur satisfaisant aux densités de puissance d'éclairage prescriptives déterminées au moyen de la méthode espace par espace à l'article 4.2.1.6 et aux commandes d'éclairage prescriptives à la sous-section 4.2.2 du CNÉB.</t>
  </si>
  <si>
    <t>Angle allant du centre du fenêtrage au sommet de l'obstruction horizontale. Se référer à l'article 4.3.2.8 du CNÉB.</t>
  </si>
  <si>
    <t>Définir l'aire totale brute des ouvertures fournissant de l'éclairage zénithal. Se référer à l'article 4.3.2.9 et à l'annexe A du CNÉB.</t>
  </si>
  <si>
    <t>Enter the total area of rough opening for toplighting. Refer to Article 4.3.2.9 and Appendix A of the NECB.</t>
  </si>
  <si>
    <t>Entrer la hauteur de l'espace ayant de l'éclairage zénithal afin de permettre le calcul de l'indice de cavité du local, RCR, selon l'article 4.3.2.9 du CNÉB.</t>
  </si>
  <si>
    <t>Entrer la longueur de l'espace ayant de l'éclairage zénithal afin de permettre le calcul de l'indice de cavité du local, RCR, selon l'article 4.3.2.9 du CNÉB.</t>
  </si>
  <si>
    <t>Entrer la largeur de l'espace ayant de l'éclairage zénithal afin de permettre le calcul de l'indice de cavité du local, RCR, selon l'article 4.3.2.9 du CNÉB.</t>
  </si>
  <si>
    <t>Enter the height of the space having toplighting to allow calculating the room cavity ratio, RCR,  as defined in Article 4.3.2.9 of the NECB.</t>
  </si>
  <si>
    <t>Enter the length of the space having toplighting to allow calculating the room cavity ratio, RCR,  as defined in Article 4.3.2.9 of the NECB.</t>
  </si>
  <si>
    <t>Enter the width of the space having toplighting to allow calculating the room cavity ratio, RCR,  as defined in Article 4.3.2.9 of the NECB.</t>
  </si>
  <si>
    <t>lighting power density in a space W/m2</t>
  </si>
  <si>
    <t>National Energy Code of Canada for Buildings – 2011</t>
  </si>
  <si>
    <t>Code national de l'énergie pour les bâtiments – 2011</t>
  </si>
  <si>
    <t xml:space="preserve">Le professionnel chargé de la coordination atteste par les présentes que la conception proposée représentée dans les documents de construction et modélisée pour cette demande de permis concorde avec tous les autres formulaires et feuilles de travail, spécifications et autres calculs soumis avec cette demande de permis. Le bâtiment proposé, dans sa conception actuelle, répond aux exigences du Code national de l’énergie pour les bâtiments. </t>
  </si>
  <si>
    <t xml:space="preserve">The Coordinating Professional hereby certifies that the proposed building design represented in the construction documents and modelled for this permit application are consistent with all other forms and worksheets, specifications, and other calculations submitted with this permit application.  The proposed building, as designed, meets the requirements of the National Energy Code for Buildings. </t>
  </si>
  <si>
    <t>Déclaration de conformité – Code national de lénergie pour les bâtiments – Canada 2011           Rapport sommaire de conformité à la partie 4 du NECB - Éclairage</t>
  </si>
  <si>
    <t>Statement of Compliance – National Energy Code of Canada for Buildings 2011                          Summary Compliance Report to NECB Part 4 - Lighting</t>
  </si>
  <si>
    <t>Cet outil est la propriété de Ressources naturelles Canada. Tous droits réservés. Il est interdit de modifier, de distribuer, de publier, de vendre, de concéder par licence, de diffuser, de retransmettre, de mettre en circulation et d'utiliser cet outil sous quelque forme autres que celles prévues aux fins de vérification de conformité au CNÉB 2011.</t>
  </si>
  <si>
    <t>None</t>
  </si>
  <si>
    <t>No shading</t>
  </si>
  <si>
    <t>Sans commande</t>
  </si>
  <si>
    <t>No control</t>
  </si>
  <si>
    <t>Sidelighting effective aperture</t>
  </si>
  <si>
    <r>
      <t>F</t>
    </r>
    <r>
      <rPr>
        <vertAlign val="subscript"/>
        <sz val="11"/>
        <rFont val="Calibri"/>
        <family val="2"/>
        <scheme val="minor"/>
      </rPr>
      <t>occ,i</t>
    </r>
  </si>
  <si>
    <t>Commande individuelle</t>
  </si>
  <si>
    <t>Personal control</t>
  </si>
  <si>
    <t>Commandes automatique dans les aires à éclairage naturel zénithal</t>
  </si>
  <si>
    <t>Enter the sidelighting effective aperture calculated according to 4.2.2.10. of the NECB.</t>
  </si>
  <si>
    <t>This tool is the property of Natural Resources Canada. All rights reserved. No part of this tool may be reproduced, modified, distributed, published, sold, licensed, broadcasted, retransmitted, circulated in any form or used this tool in any way other than for compliance to the 2011 NECB.</t>
  </si>
  <si>
    <r>
      <t xml:space="preserve">Cet outil permet de démontrer la conformité à la partie 4 - Éclairage du CNÉB 2011 selon la méthode de remplacement. L'utilisation doit définir l'ensemble du bâtiment selon la méthode de la fonction des espaces. La feuille Trade-Off permet de définir tous les intrants requis pour chacune des espaces et de calculer la conformité du bâtiment. Seulement les cellules en surlignage </t>
    </r>
    <r>
      <rPr>
        <b/>
        <sz val="11"/>
        <color theme="3" tint="0.39997558519241921"/>
        <rFont val="Calibri"/>
        <family val="2"/>
        <scheme val="minor"/>
      </rPr>
      <t>BLEU</t>
    </r>
    <r>
      <rPr>
        <sz val="11"/>
        <color rgb="FF000000"/>
        <rFont val="Calibri"/>
        <family val="2"/>
        <scheme val="minor"/>
      </rPr>
      <t xml:space="preserve"> doivent être complétées. La superficie totale brute du bâtiment doit être définie afin d'obtenir un calcul de conformité valide. </t>
    </r>
  </si>
  <si>
    <t>Define a unique name for the space being defined. Documentation describing the actual space should be kept for a possible validation of compliance by the Authority Having Jurisdiction.</t>
  </si>
  <si>
    <t>Sélectionner la fonction de l'espace se rapprochant le plus de la fonction principale réelle de l'espace, tel qu'indiqué au tableau 4.2.1.6 du CNÉB.</t>
  </si>
  <si>
    <t>Sélectionner la fonction de l'espace clos se rapprochant le plus de la fonction principale réelle de l'espace défini, tel que défini à l'article 4.2.2.2 2) du CNÉB.</t>
  </si>
  <si>
    <t>Select the space function that most closely matches the actual main space function of the enclosed space being defined, as specified in Article 4.2.2.2 2) of the NECB.</t>
  </si>
  <si>
    <t>Space Name</t>
  </si>
  <si>
    <t>Occupancy-Sensing Mechanism Type</t>
  </si>
  <si>
    <t>Lighting Power, W</t>
  </si>
  <si>
    <t>Space Operation Start Time</t>
  </si>
  <si>
    <t>Space Operation End time</t>
  </si>
  <si>
    <t>Primary Type of Daylight Supply</t>
  </si>
  <si>
    <t>Daylight System Control</t>
  </si>
  <si>
    <t>Control Factor for Daylighting</t>
  </si>
  <si>
    <t>Orientation of Fenestration Providing Sidelighting</t>
  </si>
  <si>
    <t>Luminous Transmittance of the Glazing</t>
  </si>
  <si>
    <t>Dirt Accumulation Factor</t>
  </si>
  <si>
    <t>Angle to Top Horizontal Obstruction</t>
  </si>
  <si>
    <t>Automatic Daylighting Controls for Toplighting</t>
  </si>
  <si>
    <t>Définir le type de mécanisme de détection des occupants, soit automatique ou manuel, tel qu'indiqué au tableau 4.3.2.10.B du CNÉB.</t>
  </si>
  <si>
    <t>Définir la source primaire d'éclairage naturel, soit latéral ou zénithal. Éclairage latéral : éclairage de l’intérieur d’un bâtiment par la lumière du jour admise au travers du fenêtrage situé sur un mur extérieur, comme des fenêtres. Éclairage zénithal (toplighting) : éclairage de l’intérieur d’un bâtiment par la lumière
du jour admise au travers du fenêtrage situé sur la toiture, comme des lanterneaux et
des lanterneaux continus. Se référer à l'article 4.3.2.3 du CNÉB.</t>
  </si>
  <si>
    <t>Définir le type de contrôle d'éclairage naturel, tel qu'indiqué au tableau 4.3.2.7.B du CNÉB.</t>
  </si>
  <si>
    <t>Non-Perpendicular Light Incidence Factor</t>
  </si>
  <si>
    <t>Personal Control</t>
  </si>
  <si>
    <t>Lighting operation starting hour for the space, as per Table 4.3.3.6.A of the NECB.</t>
  </si>
  <si>
    <t>Specify if the daylight control mechanism is automatic or manual or whether there is no shading, as per Table 4.3.2.7.A of the NECB.</t>
  </si>
  <si>
    <t>Définir le type de mécanisme de contrôle d'éclairage naturel, soit automatique ou manuel, ou sans commande, tel qu'indiqué au tableau 4.3.2.7.A du CNÉB.</t>
  </si>
  <si>
    <t>Effective luminous transmittance of the glazing providing daylighting, as specified in Article 4.3.2.8 of the NECB.</t>
  </si>
  <si>
    <t>The framing factor is defined as the ratio of glazed area to overall area of the opening including area of framing. For toplighting only, if this factor is unknown it can be set to 0.7. See Articles 4.3.2.8  and 4.3.2.9 of the NECB.</t>
  </si>
  <si>
    <t>Specify the height of the atrium to determine the prescribed lighting power density</t>
  </si>
  <si>
    <t>This factor accounts for dirt accumulation on fenestration. If unknown, this factor is to be set to 0.8 for sidelighting and 0.9 for toplighting. See Articles 4.3.2.8  and 4.3.2.9 of the NECB.</t>
  </si>
  <si>
    <t>Angle from the centre of the fenestration to the top of the horizontal obstruction. Refer to Article 4.3.2.8 of the NECB.</t>
  </si>
  <si>
    <t>Ce facteur est défini pour tenir compte de l'accumulation de saleté sur le fenêtrage. Si inconnu, ce facteur doit être établi à 0.8 pour l'éclairage latéral et 0.9 pour l'éclairage zénithal. Se référer aux articles 4.3.2.8 et 4.3.2.9 du CNÉB.</t>
  </si>
  <si>
    <t>L'énergie d'éclairage intérieur installé, IILE, représente la consommation annuelle d'énergie de l'éclairage intérieur des pièces du bâtiment proposé. L'IILE doit être égale ou inférieure à l'ILEA pour qu'un bâtiment soit considéré conforme à la section 4.3 du CNÉB.</t>
  </si>
  <si>
    <t>Le système d'éclairage est considéré non conforme à la section 4.3</t>
  </si>
  <si>
    <t>Adresse du projet :</t>
  </si>
  <si>
    <t>Palais de justice/poste de police/pénitencier - salle d'audience</t>
  </si>
  <si>
    <t>Palais de justice/poste de police/pénitencier - cellule d'isolement</t>
  </si>
  <si>
    <t>Palais de justice/poste de police/pénitencier - salle à manger</t>
  </si>
  <si>
    <t>Palais de justice/poste de police/pénitencier - salle de cours</t>
  </si>
  <si>
    <t>Palais de justice/poste de police/pénitencier - aire pour spectateurs assis</t>
  </si>
  <si>
    <t>Palais de justice/poste de police/pénitencier - cabinet de juge</t>
  </si>
  <si>
    <t>Sidelighting Effective Aperture (%)</t>
  </si>
  <si>
    <t>Ouverture effective de l'éclairage latéral (%)</t>
  </si>
  <si>
    <t>This tool can be used to demonstrate compliance with the NECB 2011 Part 4 (Lighting) Trade-Off path. Users must define the building’s area and lighting systems using the Space-by-space method. The Trade-Off worksheet allows the entry of all required information, fields highlighted in BLUE, to define each space and its lighting system.  The total building Gross Floor Area must be defined in the Trade-off worksheet for the compliance calculations to be valid.</t>
  </si>
  <si>
    <r>
      <t>m</t>
    </r>
    <r>
      <rPr>
        <vertAlign val="superscript"/>
        <sz val="11"/>
        <color theme="1"/>
        <rFont val="Calibri"/>
        <family val="2"/>
        <scheme val="minor"/>
      </rPr>
      <t>2</t>
    </r>
  </si>
  <si>
    <t>Le système d'éclairage est considéré conforme à la section 4.3</t>
  </si>
  <si>
    <t>illuminance range</t>
  </si>
  <si>
    <t>Aucune</t>
  </si>
  <si>
    <t>C,El,Sidelighting</t>
  </si>
  <si>
    <t>C,EL,Toplighting</t>
  </si>
  <si>
    <t>Is the building located above the 55N latitude?</t>
  </si>
  <si>
    <t>Est-ce le bâtiment est situé au-dessus du 55ième parallèle de latitude nord?</t>
  </si>
  <si>
    <t>Can the requirements of 4.2.2.4.(2). be demonstrated?</t>
  </si>
  <si>
    <t>Skylight effective aperture</t>
  </si>
  <si>
    <t xml:space="preserve">This field is required to determine whether there are multi-level photocontrols in the reference building. Refer to Article 4.2.2.4. of the NECB. </t>
  </si>
  <si>
    <t>Indicate whether the space is provided with personal controls. This field is required to determine the factor for personal control in the proposed building. Refer to Article 4.3.2.10. of the NECB.</t>
  </si>
  <si>
    <t>Indiquer si l'espace est doté de commandes individuelles. Ce champ est requis pour déterminer le facteur de commande individuelle dans le bâtiment proposé. Voir l'article 4.3.2.10. du CNÉB.</t>
  </si>
  <si>
    <t>This field indicates whether automatic daylight controls are required in the reference space. No user input required.</t>
  </si>
  <si>
    <t>Commandes automatiques d'éclairage naturel dans l'espace de référence</t>
  </si>
  <si>
    <t>Ce champ indique si des commandes automatiques d'éclairage naturel sont requises dans l'espace de référence. Aucune donnée d'entrée n'est requise.</t>
  </si>
  <si>
    <t>Ouverture effective des lanterneaux (%)</t>
  </si>
  <si>
    <t>Defines the primary source of daylight, either sidelighting or toplighting. Sidelighting means the illumination of building interiors with daylight admitted through fenestration located on an exterior wall, such as windows. Toplighting means the illumination of building interiors with daylight admitted through fenestration located on the roof, such as skylights and rooftop monitors. Refer to Article 4.3.2.3 of NECB.</t>
  </si>
  <si>
    <t>Automatic Daylight Controls in the Reference Space.</t>
  </si>
  <si>
    <t>Est-ce que l'exception décrite dans l'alinéa 4.2.2.4.(2).(a) est applicable?</t>
  </si>
  <si>
    <t>Is the exemption described in Clause 4.2.2.4.(2)(a) applicable?</t>
  </si>
  <si>
    <t>Skylight Effective Aperture (%)</t>
  </si>
  <si>
    <t>The gross interior floor area of one or more of the spaces with toplighting as the primary type of daylight supply does not match the product of the length and width of the space.</t>
  </si>
  <si>
    <t>Pour un espace avec une source primaire d'éclairage zénithal, l'aire brute intérieure doit être égale au produit de la longueur et la largeur de l'espace.</t>
  </si>
  <si>
    <t>Avertissement:</t>
  </si>
  <si>
    <t>A volume substantially surrounded by solid surfaces such as full-height walls/partitions, floors, ceilings, and operable devices such as doors and operable windows.</t>
  </si>
  <si>
    <t>Total area of the targeted space that has daylighting. Refer to NECB sections 4.2.2.5, 4.2.2.6 and 4.2.2.9 for the procedures to calculate this area.</t>
  </si>
  <si>
    <t>Enter the skylight effective aperture calculated according to 4.2.2.7.(1). of the NECB.</t>
  </si>
  <si>
    <t>Entrer le niveau d'éclairement nominal de conception de l'espace. La valeur minimale est établie à 300 lx (27.87 fc) et le niveau maximal à 1000 lx (92.90 fc) selon les articles 4.3.2.8 et 4.3.2.9 du CNÉB (veuiller vous référer à A-Tableau 4.2.1.6 du CNÉB).</t>
  </si>
  <si>
    <t>Enter the design illuminance of the space. According to Articles 4.3.2.8. and 4.3.2.9. of the NECB, the allowable range of illuminance values is between 300 lx (27.82 fc) and 1000 lx (92.90 fc) (refer to NECB Appendix A-Table 4.3.2.8.).</t>
  </si>
  <si>
    <r>
      <t>Ce champ est nécessaire pour déterminer si des photocommandes multiniveaux sont requises dans le bâtiment de référence. Voir l’article 4.2.2.4. du CN</t>
    </r>
    <r>
      <rPr>
        <sz val="10.5"/>
        <color rgb="FF535353"/>
        <rFont val="Open Sans"/>
      </rPr>
      <t>ÉB.</t>
    </r>
    <r>
      <rPr>
        <sz val="11"/>
        <color theme="1"/>
        <rFont val="Calibri"/>
        <family val="2"/>
        <scheme val="minor"/>
      </rPr>
      <t xml:space="preserve">  </t>
    </r>
  </si>
  <si>
    <t>Entrer la valeur de l'ouverture effective des lanterneaux, calculée selon les exigences des paragraphes 4.2.2.7.(1).</t>
  </si>
  <si>
    <t>Entrer la valeur de l'ouverture effective de l'éclairage latéral, calculée selon l'article 4.2.2.10. du CNÉB.</t>
  </si>
  <si>
    <t>Building 1</t>
  </si>
  <si>
    <t>Espace clos</t>
  </si>
  <si>
    <t>Type de vitrage</t>
  </si>
  <si>
    <t>Simple transparent</t>
  </si>
  <si>
    <t xml:space="preserve">Simple à faible émissivité (e2 = 0.4) transparent   </t>
  </si>
  <si>
    <t xml:space="preserve">Simple à faible émissivité (e2 = 0.2) transparent   </t>
  </si>
  <si>
    <t xml:space="preserve">Simple électrochromique absorbant blanchi/coloré   </t>
  </si>
  <si>
    <t xml:space="preserve">Simple électrochromique réfléchissant blanchi/coloré   </t>
  </si>
  <si>
    <t>Double transparent</t>
  </si>
  <si>
    <t xml:space="preserve">Double à faible émissivité  (e3 = 0.4) transparent      </t>
  </si>
  <si>
    <t xml:space="preserve">Double à faible émissivité  (e3 = 0.2) transparent      </t>
  </si>
  <si>
    <t xml:space="preserve">Double à faible émissivité  (e2 = 0.1) transparent      </t>
  </si>
  <si>
    <t xml:space="preserve">Double à faible émissivité  (e3 = 0.1) transparent      </t>
  </si>
  <si>
    <t xml:space="preserve">Double à faible émissivité  (e2 = 0.04) transparent      </t>
  </si>
  <si>
    <t xml:space="preserve">Double à faible émissivité  (e3 = 0.04) transparent      </t>
  </si>
  <si>
    <t xml:space="preserve">Double électrochromique absorbant blanchi/coloré      </t>
  </si>
  <si>
    <t xml:space="preserve">Double électrochromique réfléchissant blanchi/coloré      </t>
  </si>
  <si>
    <t xml:space="preserve">Double à faible émissivité  (e2 = 0.029) électrochromique absorbant blanchi/coloré      </t>
  </si>
  <si>
    <t xml:space="preserve">Double à faible émissivité  (e2 = 0.029) électrochromique réfléchissant blanchi/coloré      </t>
  </si>
  <si>
    <t>Triple transparent</t>
  </si>
  <si>
    <t>Profondeur de l'espace (mm)</t>
  </si>
  <si>
    <t>Profondeur de l'espace (pouce)</t>
  </si>
  <si>
    <t>Gaz de remplissage</t>
  </si>
  <si>
    <t>Transmittance lunineuse du vitrage</t>
  </si>
  <si>
    <t>Space 1</t>
  </si>
  <si>
    <t>Triple à faible émissivité  (e5 = 0.1) transparent</t>
  </si>
  <si>
    <t>Triple à faible émissivité  (e2=e5 = 0.1) transparent</t>
  </si>
  <si>
    <t>Triple à faible émissivité  (88) transparent</t>
  </si>
  <si>
    <t>Triple à faible émissivité  (77) transparent</t>
  </si>
  <si>
    <t>Triple à faible émissivité  (66) transparent</t>
  </si>
  <si>
    <t>Triple à faible émissivité  (55) transparent</t>
  </si>
  <si>
    <t>Simple teinté bronze</t>
  </si>
  <si>
    <t>Simple teinté vert</t>
  </si>
  <si>
    <t>Simple teinté gris</t>
  </si>
  <si>
    <t>Simple teinté bleu</t>
  </si>
  <si>
    <t xml:space="preserve">Double teinté bronze   </t>
  </si>
  <si>
    <t xml:space="preserve">Double teinté vert   </t>
  </si>
  <si>
    <t xml:space="preserve">Double teinté gris   </t>
  </si>
  <si>
    <t xml:space="preserve">Double teinté bleu   </t>
  </si>
  <si>
    <t xml:space="preserve">Double à faible émissivité  (e2 = 0.1) teinté      </t>
  </si>
  <si>
    <t xml:space="preserve">Double à faible émissivité  (e2 = 0.04) teinté   </t>
  </si>
  <si>
    <t>Triple à faible émissivité  (66) teinté</t>
  </si>
  <si>
    <t>Triple à faible émissivité  (55) teinté</t>
  </si>
  <si>
    <t>Triple à faible émissivité  (44) teinté</t>
  </si>
  <si>
    <t>Triple à faible émissivité  (33) teinté</t>
  </si>
  <si>
    <t>Double faible teneur de fer</t>
  </si>
  <si>
    <t>Simple faible teneur de fer</t>
  </si>
  <si>
    <t xml:space="preserve">Quadruple, 2 vitrage à faible émissivité, 2 couches à basse émissivité, transparent   </t>
  </si>
  <si>
    <t>Annual number of days of operation:</t>
  </si>
  <si>
    <t>This Compliance Report lists the building features as per the actual building permit drawings and specifications in accordance with Part 4.3 of the National Energy Code for Buildings.</t>
  </si>
  <si>
    <t>Check 1</t>
  </si>
  <si>
    <t>Check 2</t>
  </si>
  <si>
    <t>Consultant:</t>
  </si>
  <si>
    <t>1. I hereby affirm that I am eligible, under the provisions of the authorities having jurisdiction, to sign this document as the person responsible for its preparation; and I am licensed as an engineer or architect permitted to practice in the Province of Alberta.</t>
  </si>
  <si>
    <t>Documentation Author:</t>
  </si>
  <si>
    <r>
      <t>Total Gross Floor Area (m</t>
    </r>
    <r>
      <rPr>
        <vertAlign val="superscript"/>
        <sz val="11"/>
        <rFont val="Arial"/>
        <family val="2"/>
      </rPr>
      <t>2</t>
    </r>
    <r>
      <rPr>
        <sz val="11"/>
        <rFont val="Arial"/>
        <family val="2"/>
      </rPr>
      <t>):</t>
    </r>
  </si>
  <si>
    <t>Building Permit Number 
(Completed Internally)</t>
  </si>
  <si>
    <t>For projects requiring Professional involvement under Division C of the Alberta Building Code, the responsible professional on record must stamp &amp; sign this document. For projects not requiring Professional involvement, the individual responsible for compliance should check and complete Check 2 below.</t>
  </si>
  <si>
    <t>2. I affirm that I am eligible to sign this document as the person responsible for its preparation; and for the following reason:____________________________________________________________________</t>
  </si>
  <si>
    <t>Statement of Compliance - National Energy Code for Buildings 2020 
Summary Report to NECB Part 4 - Simple Trade-Off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</si>
</sst>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0.0"/>
    <numFmt numFmtId="166" formatCode="0.000000000"/>
    <numFmt numFmtId="167" formatCode="dd\-mm\-yy"/>
    <numFmt numFmtId="168" formatCode="0.0%"/>
  </numFmts>
  <fonts count="32" x14ac:knownFonts="1">
    <font>
      <sz val="11"/>
      <color theme="1"/>
      <name val="Calibri"/>
      <family val="2"/>
      <scheme val="minor"/>
    </font>
    <font>
      <vertAlign val="subscrip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color theme="1"/>
      <name val="Calibri"/>
      <family val="2"/>
    </font>
    <font>
      <vertAlign val="subscript"/>
      <sz val="11"/>
      <color theme="1"/>
      <name val="Calibri"/>
      <family val="2"/>
    </font>
    <font>
      <u/>
      <sz val="11"/>
      <color theme="10"/>
      <name val="Calibri"/>
      <family val="2"/>
    </font>
    <font>
      <sz val="11"/>
      <color rgb="FF000000"/>
      <name val="Calibri"/>
      <family val="2"/>
      <scheme val="minor"/>
    </font>
    <font>
      <b/>
      <sz val="11"/>
      <color theme="3" tint="0.39997558519241921"/>
      <name val="Calibri"/>
      <family val="2"/>
      <scheme val="minor"/>
    </font>
    <font>
      <b/>
      <u/>
      <sz val="14"/>
      <color theme="1"/>
      <name val="Calibri"/>
      <family val="2"/>
      <scheme val="minor"/>
    </font>
    <font>
      <sz val="11"/>
      <color theme="1"/>
      <name val="Calibri"/>
      <family val="2"/>
      <scheme val="minor"/>
    </font>
    <font>
      <sz val="10"/>
      <name val="Arial"/>
      <family val="2"/>
    </font>
    <font>
      <vertAlign val="subscript"/>
      <sz val="10"/>
      <name val="Arial"/>
      <family val="2"/>
    </font>
    <font>
      <b/>
      <u/>
      <sz val="11"/>
      <color theme="10"/>
      <name val="Calibri"/>
      <family val="2"/>
    </font>
    <font>
      <sz val="9"/>
      <color indexed="81"/>
      <name val="Tahoma"/>
      <family val="2"/>
    </font>
    <font>
      <b/>
      <sz val="9"/>
      <color indexed="81"/>
      <name val="Tahoma"/>
      <family val="2"/>
    </font>
    <font>
      <sz val="11"/>
      <name val="Calibri"/>
      <family val="2"/>
      <scheme val="minor"/>
    </font>
    <font>
      <vertAlign val="subscript"/>
      <sz val="11"/>
      <name val="Calibri"/>
      <family val="2"/>
      <scheme val="minor"/>
    </font>
    <font>
      <sz val="7"/>
      <color theme="1"/>
      <name val="Calibri"/>
      <family val="2"/>
      <scheme val="minor"/>
    </font>
    <font>
      <sz val="7"/>
      <name val="Arial"/>
      <family val="2"/>
    </font>
    <font>
      <vertAlign val="superscript"/>
      <sz val="11"/>
      <color theme="1"/>
      <name val="Calibri"/>
      <family val="2"/>
      <scheme val="minor"/>
    </font>
    <font>
      <sz val="10.5"/>
      <color rgb="FF535353"/>
      <name val="Open Sans"/>
    </font>
    <font>
      <sz val="14"/>
      <color theme="0"/>
      <name val="Arial"/>
      <family val="2"/>
    </font>
    <font>
      <b/>
      <sz val="11"/>
      <name val="Arial"/>
      <family val="2"/>
    </font>
    <font>
      <sz val="11"/>
      <name val="Arial"/>
      <family val="2"/>
    </font>
    <font>
      <sz val="14"/>
      <color theme="1"/>
      <name val="Arial"/>
      <family val="2"/>
    </font>
    <font>
      <sz val="11"/>
      <color theme="1"/>
      <name val="Arial"/>
      <family val="2"/>
    </font>
    <font>
      <sz val="14"/>
      <name val="Arial"/>
      <family val="2"/>
    </font>
    <font>
      <vertAlign val="superscript"/>
      <sz val="11"/>
      <name val="Arial"/>
      <family val="2"/>
    </font>
    <font>
      <b/>
      <sz val="11"/>
      <color theme="0" tint="-0.249977111117893"/>
      <name val="Arial"/>
      <family val="2"/>
    </font>
    <font>
      <b/>
      <sz val="11"/>
      <color theme="0" tint="-0.34998626667073579"/>
      <name val="Arial"/>
      <family val="2"/>
    </font>
  </fonts>
  <fills count="11">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4" tint="0.79998168889431442"/>
        <bgColor indexed="64"/>
      </patternFill>
    </fill>
  </fills>
  <borders count="29">
    <border>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medium">
        <color indexed="64"/>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3">
    <xf numFmtId="0" fontId="0" fillId="0" borderId="0"/>
    <xf numFmtId="0" fontId="7" fillId="0" borderId="0" applyNumberFormat="0" applyFill="0" applyBorder="0" applyAlignment="0" applyProtection="0">
      <alignment vertical="top"/>
      <protection locked="0"/>
    </xf>
    <xf numFmtId="0" fontId="12" fillId="0" borderId="0"/>
  </cellStyleXfs>
  <cellXfs count="184">
    <xf numFmtId="0" fontId="0" fillId="0" borderId="0" xfId="0"/>
    <xf numFmtId="20" fontId="0" fillId="0" borderId="0" xfId="0" applyNumberFormat="1"/>
    <xf numFmtId="2" fontId="0" fillId="0" borderId="0" xfId="0" applyNumberFormat="1"/>
    <xf numFmtId="3" fontId="0" fillId="0" borderId="0" xfId="0" applyNumberFormat="1"/>
    <xf numFmtId="0" fontId="0" fillId="0" borderId="0" xfId="0" applyProtection="1">
      <protection hidden="1"/>
    </xf>
    <xf numFmtId="0" fontId="3" fillId="3" borderId="6" xfId="0" applyFont="1" applyFill="1" applyBorder="1" applyProtection="1">
      <protection hidden="1"/>
    </xf>
    <xf numFmtId="0" fontId="3" fillId="0" borderId="4" xfId="0" applyFont="1" applyBorder="1" applyProtection="1">
      <protection hidden="1"/>
    </xf>
    <xf numFmtId="0" fontId="0" fillId="0" borderId="5" xfId="0" applyBorder="1" applyProtection="1">
      <protection hidden="1"/>
    </xf>
    <xf numFmtId="0" fontId="3" fillId="3" borderId="7" xfId="0" applyFont="1" applyFill="1" applyBorder="1" applyProtection="1">
      <protection hidden="1"/>
    </xf>
    <xf numFmtId="0" fontId="0" fillId="0" borderId="1" xfId="0" applyBorder="1" applyProtection="1">
      <protection hidden="1"/>
    </xf>
    <xf numFmtId="0" fontId="3" fillId="3" borderId="8" xfId="0" applyFont="1" applyFill="1" applyBorder="1" applyProtection="1">
      <protection hidden="1"/>
    </xf>
    <xf numFmtId="0" fontId="0" fillId="0" borderId="3" xfId="0" applyBorder="1" applyProtection="1">
      <protection hidden="1"/>
    </xf>
    <xf numFmtId="0" fontId="2" fillId="0" borderId="0" xfId="0" applyFont="1" applyFill="1" applyBorder="1" applyProtection="1">
      <protection hidden="1"/>
    </xf>
    <xf numFmtId="0" fontId="5" fillId="0" borderId="0" xfId="0" applyFont="1" applyProtection="1">
      <protection hidden="1"/>
    </xf>
    <xf numFmtId="0" fontId="0" fillId="0" borderId="0" xfId="0" applyAlignment="1" applyProtection="1">
      <alignment wrapText="1"/>
      <protection hidden="1"/>
    </xf>
    <xf numFmtId="1" fontId="0" fillId="0" borderId="0" xfId="0" applyNumberFormat="1" applyProtection="1">
      <protection hidden="1"/>
    </xf>
    <xf numFmtId="20" fontId="0" fillId="0" borderId="0" xfId="0" applyNumberFormat="1" applyProtection="1">
      <protection hidden="1"/>
    </xf>
    <xf numFmtId="164" fontId="0" fillId="0" borderId="0" xfId="0" applyNumberFormat="1" applyProtection="1">
      <protection hidden="1"/>
    </xf>
    <xf numFmtId="0" fontId="0" fillId="0" borderId="0" xfId="0" applyFill="1" applyProtection="1">
      <protection hidden="1"/>
    </xf>
    <xf numFmtId="0" fontId="0" fillId="0" borderId="0" xfId="0" applyFill="1" applyAlignment="1" applyProtection="1">
      <alignment horizontal="right"/>
      <protection hidden="1"/>
    </xf>
    <xf numFmtId="0" fontId="0" fillId="0" borderId="0" xfId="0" applyFill="1" applyAlignment="1" applyProtection="1">
      <alignment horizontal="left"/>
      <protection hidden="1"/>
    </xf>
    <xf numFmtId="0" fontId="0" fillId="0" borderId="9" xfId="0" applyBorder="1" applyAlignment="1" applyProtection="1">
      <alignment horizontal="center"/>
      <protection hidden="1"/>
    </xf>
    <xf numFmtId="0" fontId="0" fillId="2" borderId="9" xfId="0" applyFill="1" applyBorder="1" applyAlignment="1" applyProtection="1">
      <alignment wrapText="1"/>
      <protection locked="0"/>
    </xf>
    <xf numFmtId="0" fontId="0" fillId="2" borderId="9" xfId="0" applyFill="1" applyBorder="1" applyAlignment="1" applyProtection="1">
      <alignment horizontal="left" wrapText="1"/>
      <protection locked="0"/>
    </xf>
    <xf numFmtId="0" fontId="0" fillId="2" borderId="9" xfId="0" applyFill="1" applyBorder="1" applyProtection="1">
      <protection locked="0"/>
    </xf>
    <xf numFmtId="20" fontId="0" fillId="2" borderId="9" xfId="0" applyNumberFormat="1" applyFill="1" applyBorder="1" applyProtection="1">
      <protection locked="0"/>
    </xf>
    <xf numFmtId="0" fontId="0" fillId="2" borderId="9" xfId="0" applyFill="1" applyBorder="1" applyAlignment="1" applyProtection="1">
      <alignment horizontal="right"/>
      <protection locked="0"/>
    </xf>
    <xf numFmtId="0" fontId="3" fillId="0" borderId="10" xfId="0" applyFont="1" applyBorder="1" applyAlignment="1" applyProtection="1">
      <alignment horizontal="center" wrapText="1"/>
      <protection hidden="1"/>
    </xf>
    <xf numFmtId="0" fontId="7" fillId="0" borderId="11" xfId="1" applyBorder="1" applyAlignment="1" applyProtection="1">
      <alignment horizontal="center" wrapText="1"/>
      <protection hidden="1"/>
    </xf>
    <xf numFmtId="0" fontId="0" fillId="0" borderId="8" xfId="0" applyBorder="1"/>
    <xf numFmtId="0" fontId="0" fillId="0" borderId="6" xfId="0" applyBorder="1"/>
    <xf numFmtId="0" fontId="0" fillId="0" borderId="16" xfId="0" applyBorder="1"/>
    <xf numFmtId="0" fontId="0" fillId="0" borderId="7" xfId="0" applyBorder="1"/>
    <xf numFmtId="0" fontId="0" fillId="2" borderId="3" xfId="0" applyFill="1" applyBorder="1" applyProtection="1">
      <protection locked="0"/>
    </xf>
    <xf numFmtId="0" fontId="0" fillId="2" borderId="5" xfId="0" applyFill="1" applyBorder="1" applyProtection="1">
      <protection locked="0"/>
    </xf>
    <xf numFmtId="0" fontId="8" fillId="0" borderId="0" xfId="0" applyFont="1"/>
    <xf numFmtId="2" fontId="0" fillId="2" borderId="9" xfId="0" applyNumberFormat="1" applyFill="1" applyBorder="1" applyProtection="1">
      <protection locked="0"/>
    </xf>
    <xf numFmtId="165" fontId="0" fillId="2" borderId="9" xfId="0" applyNumberFormat="1" applyFill="1" applyBorder="1" applyProtection="1">
      <protection locked="0"/>
    </xf>
    <xf numFmtId="1" fontId="0" fillId="2" borderId="9" xfId="0" applyNumberFormat="1" applyFill="1" applyBorder="1" applyProtection="1">
      <protection locked="0"/>
    </xf>
    <xf numFmtId="0" fontId="7" fillId="0" borderId="12" xfId="1" applyBorder="1" applyAlignment="1" applyProtection="1">
      <alignment horizontal="center" wrapText="1"/>
      <protection hidden="1"/>
    </xf>
    <xf numFmtId="0" fontId="0" fillId="0" borderId="0" xfId="0" applyAlignment="1"/>
    <xf numFmtId="0" fontId="3" fillId="0" borderId="23" xfId="0" applyFont="1" applyBorder="1" applyAlignment="1">
      <alignment horizontal="left" vertical="top" wrapText="1"/>
    </xf>
    <xf numFmtId="0" fontId="0" fillId="2" borderId="1" xfId="0" applyFill="1" applyBorder="1" applyAlignment="1" applyProtection="1">
      <alignment horizontal="right" wrapText="1"/>
      <protection locked="0"/>
    </xf>
    <xf numFmtId="0" fontId="3" fillId="2" borderId="23" xfId="0" applyFont="1" applyFill="1" applyBorder="1"/>
    <xf numFmtId="0" fontId="3" fillId="2" borderId="23" xfId="0" applyFont="1" applyFill="1" applyBorder="1" applyAlignment="1">
      <alignment horizontal="center" wrapText="1"/>
    </xf>
    <xf numFmtId="0" fontId="0" fillId="0" borderId="23" xfId="0" applyBorder="1"/>
    <xf numFmtId="0" fontId="0" fillId="0" borderId="23" xfId="0" applyBorder="1" applyAlignment="1">
      <alignment horizontal="center"/>
    </xf>
    <xf numFmtId="2" fontId="0" fillId="0" borderId="23" xfId="0" applyNumberFormat="1" applyBorder="1"/>
    <xf numFmtId="0" fontId="12" fillId="0" borderId="0" xfId="2"/>
    <xf numFmtId="0" fontId="11" fillId="0" borderId="0" xfId="2" applyFont="1"/>
    <xf numFmtId="0" fontId="12" fillId="0" borderId="0" xfId="0" applyFont="1"/>
    <xf numFmtId="0" fontId="11" fillId="0" borderId="0" xfId="2" applyNumberFormat="1" applyFont="1"/>
    <xf numFmtId="0" fontId="12" fillId="0" borderId="0" xfId="0" applyNumberFormat="1" applyFont="1"/>
    <xf numFmtId="0" fontId="0" fillId="0" borderId="0" xfId="0" applyNumberFormat="1"/>
    <xf numFmtId="0" fontId="11" fillId="0" borderId="0" xfId="2" applyNumberFormat="1" applyFont="1" applyFill="1"/>
    <xf numFmtId="0" fontId="0" fillId="0" borderId="23" xfId="0" applyBorder="1" applyAlignment="1">
      <alignment vertical="center" wrapText="1"/>
    </xf>
    <xf numFmtId="0" fontId="14" fillId="0" borderId="23" xfId="1" applyFont="1" applyBorder="1" applyAlignment="1" applyProtection="1">
      <alignment horizontal="left" vertical="center" wrapText="1"/>
    </xf>
    <xf numFmtId="166" fontId="0" fillId="0" borderId="0" xfId="0" applyNumberFormat="1"/>
    <xf numFmtId="0" fontId="0" fillId="0" borderId="0" xfId="2" applyNumberFormat="1" applyFont="1" applyFill="1"/>
    <xf numFmtId="0" fontId="0" fillId="0" borderId="0" xfId="2" applyNumberFormat="1" applyFont="1"/>
    <xf numFmtId="0" fontId="0" fillId="5" borderId="0" xfId="0" applyFill="1" applyProtection="1">
      <protection hidden="1"/>
    </xf>
    <xf numFmtId="0" fontId="0" fillId="5" borderId="0" xfId="0" applyFill="1" applyAlignment="1" applyProtection="1">
      <alignment wrapText="1"/>
      <protection hidden="1"/>
    </xf>
    <xf numFmtId="0" fontId="7" fillId="6" borderId="11" xfId="1" applyFill="1" applyBorder="1" applyAlignment="1" applyProtection="1">
      <alignment horizontal="center" wrapText="1"/>
      <protection hidden="1"/>
    </xf>
    <xf numFmtId="0" fontId="17" fillId="5" borderId="0" xfId="0" applyFont="1" applyFill="1" applyProtection="1">
      <protection hidden="1"/>
    </xf>
    <xf numFmtId="0" fontId="17" fillId="5" borderId="0" xfId="0" applyFont="1" applyFill="1" applyAlignment="1" applyProtection="1">
      <alignment wrapText="1"/>
      <protection hidden="1"/>
    </xf>
    <xf numFmtId="0" fontId="0" fillId="7" borderId="0" xfId="0" applyFill="1" applyProtection="1">
      <protection hidden="1"/>
    </xf>
    <xf numFmtId="0" fontId="0" fillId="7" borderId="0" xfId="0" applyFill="1" applyAlignment="1" applyProtection="1">
      <alignment wrapText="1"/>
      <protection hidden="1"/>
    </xf>
    <xf numFmtId="0" fontId="0" fillId="0" borderId="24" xfId="0" applyBorder="1" applyProtection="1">
      <protection hidden="1"/>
    </xf>
    <xf numFmtId="0" fontId="7" fillId="0" borderId="11" xfId="1" applyBorder="1" applyAlignment="1" applyProtection="1">
      <alignment horizontal="center"/>
    </xf>
    <xf numFmtId="0" fontId="0" fillId="0" borderId="0" xfId="0" applyFill="1" applyAlignment="1" applyProtection="1">
      <alignment wrapText="1"/>
      <protection hidden="1"/>
    </xf>
    <xf numFmtId="0" fontId="0" fillId="0" borderId="0" xfId="2" applyFont="1"/>
    <xf numFmtId="0" fontId="0" fillId="0" borderId="0" xfId="0" applyAlignment="1">
      <alignment wrapText="1"/>
    </xf>
    <xf numFmtId="167" fontId="0" fillId="0" borderId="0" xfId="0" applyNumberFormat="1"/>
    <xf numFmtId="0" fontId="7" fillId="0" borderId="11" xfId="1" applyBorder="1" applyAlignment="1" applyProtection="1">
      <alignment horizontal="center" wrapText="1"/>
    </xf>
    <xf numFmtId="0" fontId="7" fillId="0" borderId="11" xfId="1" applyFill="1" applyBorder="1" applyAlignment="1" applyProtection="1">
      <alignment horizontal="center" wrapText="1"/>
      <protection hidden="1"/>
    </xf>
    <xf numFmtId="0" fontId="3" fillId="0" borderId="23" xfId="0" applyFont="1" applyFill="1" applyBorder="1" applyAlignment="1">
      <alignment horizontal="left" vertical="top" wrapText="1"/>
    </xf>
    <xf numFmtId="0" fontId="0" fillId="0" borderId="23" xfId="0" applyFill="1" applyBorder="1" applyAlignment="1">
      <alignment vertical="center" wrapText="1"/>
    </xf>
    <xf numFmtId="0" fontId="0" fillId="2" borderId="9" xfId="0" applyNumberFormat="1" applyFill="1" applyBorder="1" applyProtection="1">
      <protection locked="0"/>
    </xf>
    <xf numFmtId="0" fontId="0" fillId="0" borderId="9" xfId="0" applyBorder="1"/>
    <xf numFmtId="0" fontId="0" fillId="0" borderId="0" xfId="0" applyBorder="1"/>
    <xf numFmtId="0" fontId="0" fillId="0" borderId="13" xfId="0" applyBorder="1"/>
    <xf numFmtId="0" fontId="0" fillId="0" borderId="22" xfId="0" applyBorder="1"/>
    <xf numFmtId="0" fontId="0" fillId="0" borderId="14" xfId="0" applyBorder="1"/>
    <xf numFmtId="0" fontId="0" fillId="0" borderId="0" xfId="0" applyAlignment="1">
      <alignment vertical="center"/>
    </xf>
    <xf numFmtId="0" fontId="7" fillId="0" borderId="11" xfId="1" applyFill="1" applyBorder="1" applyAlignment="1" applyProtection="1">
      <alignment horizontal="center" wrapText="1"/>
    </xf>
    <xf numFmtId="0" fontId="17" fillId="0" borderId="9" xfId="0" applyFont="1" applyFill="1" applyBorder="1" applyProtection="1"/>
    <xf numFmtId="168" fontId="11" fillId="2" borderId="9" xfId="0" applyNumberFormat="1" applyFont="1" applyFill="1" applyBorder="1" applyProtection="1">
      <protection locked="0"/>
    </xf>
    <xf numFmtId="10" fontId="0" fillId="2" borderId="9" xfId="0" applyNumberFormat="1" applyFill="1" applyBorder="1" applyProtection="1">
      <protection locked="0"/>
    </xf>
    <xf numFmtId="0" fontId="4" fillId="0" borderId="0" xfId="0" applyFont="1" applyAlignment="1" applyProtection="1">
      <protection hidden="1"/>
    </xf>
    <xf numFmtId="0" fontId="0" fillId="0" borderId="0" xfId="0" applyAlignment="1" applyProtection="1">
      <protection hidden="1"/>
    </xf>
    <xf numFmtId="0" fontId="4" fillId="0" borderId="0" xfId="0" applyFont="1" applyProtection="1">
      <protection hidden="1"/>
    </xf>
    <xf numFmtId="0" fontId="2" fillId="0" borderId="0" xfId="0" applyFont="1" applyProtection="1">
      <protection hidden="1"/>
    </xf>
    <xf numFmtId="0" fontId="0" fillId="0" borderId="0" xfId="0" applyFont="1"/>
    <xf numFmtId="165" fontId="17" fillId="2" borderId="9" xfId="0" applyNumberFormat="1" applyFont="1" applyFill="1" applyBorder="1" applyProtection="1">
      <protection locked="0"/>
    </xf>
    <xf numFmtId="0" fontId="0" fillId="0" borderId="0" xfId="0" applyFont="1" applyProtection="1">
      <protection hidden="1"/>
    </xf>
    <xf numFmtId="165" fontId="0" fillId="2" borderId="25" xfId="0" applyNumberFormat="1" applyFont="1" applyFill="1" applyBorder="1" applyProtection="1"/>
    <xf numFmtId="0" fontId="3" fillId="0" borderId="23" xfId="0" applyFont="1" applyBorder="1" applyAlignment="1">
      <alignment wrapText="1"/>
    </xf>
    <xf numFmtId="0" fontId="3" fillId="2" borderId="23" xfId="0" applyFont="1" applyFill="1" applyBorder="1" applyAlignment="1">
      <alignment wrapText="1"/>
    </xf>
    <xf numFmtId="0" fontId="0" fillId="0" borderId="23" xfId="0" applyBorder="1" applyAlignment="1">
      <alignment horizontal="center" vertical="center"/>
    </xf>
    <xf numFmtId="2" fontId="0" fillId="0" borderId="23" xfId="0" applyNumberFormat="1" applyBorder="1" applyAlignment="1">
      <alignment horizontal="center" vertical="center"/>
    </xf>
    <xf numFmtId="0" fontId="3" fillId="0" borderId="23" xfId="0" applyFont="1" applyFill="1" applyBorder="1" applyAlignment="1">
      <alignment horizontal="center" vertical="center" wrapText="1"/>
    </xf>
    <xf numFmtId="0" fontId="17" fillId="0" borderId="23" xfId="0" applyFont="1" applyFill="1" applyBorder="1" applyAlignment="1">
      <alignment horizontal="left" vertical="center"/>
    </xf>
    <xf numFmtId="0" fontId="3" fillId="2" borderId="23" xfId="0" applyFont="1" applyFill="1" applyBorder="1" applyAlignment="1">
      <alignment horizontal="center" vertical="center" wrapText="1"/>
    </xf>
    <xf numFmtId="1" fontId="0" fillId="0" borderId="9" xfId="0" applyNumberFormat="1" applyBorder="1" applyAlignment="1" applyProtection="1">
      <alignment wrapText="1"/>
      <protection hidden="1"/>
    </xf>
    <xf numFmtId="1" fontId="0" fillId="0" borderId="0" xfId="0" applyNumberFormat="1" applyBorder="1" applyAlignment="1" applyProtection="1">
      <alignment horizontal="center" wrapText="1"/>
      <protection hidden="1"/>
    </xf>
    <xf numFmtId="1" fontId="0" fillId="0" borderId="2" xfId="0" applyNumberFormat="1" applyBorder="1" applyAlignment="1" applyProtection="1">
      <alignment horizontal="center" wrapText="1"/>
      <protection hidden="1"/>
    </xf>
    <xf numFmtId="0" fontId="25" fillId="0" borderId="23" xfId="2" applyFont="1" applyBorder="1" applyAlignment="1" applyProtection="1">
      <alignment horizontal="center" vertical="center" wrapText="1"/>
      <protection hidden="1"/>
    </xf>
    <xf numFmtId="0" fontId="25" fillId="0" borderId="23" xfId="2" applyFont="1" applyBorder="1" applyAlignment="1" applyProtection="1">
      <alignment horizontal="left" vertical="center" wrapText="1"/>
      <protection hidden="1"/>
    </xf>
    <xf numFmtId="0" fontId="12" fillId="0" borderId="23" xfId="2" applyBorder="1" applyAlignment="1" applyProtection="1">
      <protection hidden="1"/>
    </xf>
    <xf numFmtId="0" fontId="25" fillId="0" borderId="23" xfId="2" applyFont="1" applyBorder="1" applyAlignment="1" applyProtection="1">
      <protection hidden="1"/>
    </xf>
    <xf numFmtId="0" fontId="25" fillId="0" borderId="23" xfId="2" applyFont="1" applyBorder="1" applyAlignment="1" applyProtection="1">
      <alignment horizontal="left" vertical="center"/>
      <protection hidden="1"/>
    </xf>
    <xf numFmtId="0" fontId="25" fillId="0" borderId="26" xfId="2" applyFont="1" applyBorder="1" applyAlignment="1" applyProtection="1">
      <alignment vertical="center"/>
      <protection hidden="1"/>
    </xf>
    <xf numFmtId="0" fontId="25" fillId="0" borderId="23" xfId="2" applyFont="1" applyBorder="1" applyAlignment="1" applyProtection="1">
      <alignment vertical="center"/>
      <protection hidden="1"/>
    </xf>
    <xf numFmtId="0" fontId="26" fillId="0" borderId="18" xfId="0" applyFont="1" applyBorder="1" applyAlignment="1" applyProtection="1">
      <alignment vertical="center"/>
    </xf>
    <xf numFmtId="0" fontId="26" fillId="0" borderId="19" xfId="0" applyFont="1" applyBorder="1" applyAlignment="1" applyProtection="1">
      <alignment vertical="center"/>
    </xf>
    <xf numFmtId="0" fontId="12" fillId="0" borderId="0" xfId="2" applyBorder="1" applyProtection="1"/>
    <xf numFmtId="0" fontId="12" fillId="0" borderId="21" xfId="2" applyBorder="1" applyProtection="1"/>
    <xf numFmtId="0" fontId="3" fillId="0" borderId="15" xfId="0" applyFont="1" applyBorder="1" applyAlignment="1">
      <alignment horizontal="center"/>
    </xf>
    <xf numFmtId="0" fontId="3" fillId="0" borderId="5" xfId="0" applyFont="1" applyBorder="1" applyAlignment="1">
      <alignment horizontal="center"/>
    </xf>
    <xf numFmtId="0" fontId="0" fillId="0" borderId="17" xfId="0" applyBorder="1" applyAlignment="1">
      <alignment horizontal="left" vertical="top" wrapText="1"/>
    </xf>
    <xf numFmtId="167" fontId="0" fillId="0" borderId="18" xfId="0" applyNumberFormat="1" applyBorder="1" applyAlignment="1">
      <alignment horizontal="left" vertical="top" wrapText="1"/>
    </xf>
    <xf numFmtId="0" fontId="0" fillId="0" borderId="19" xfId="0" applyBorder="1" applyAlignment="1">
      <alignment horizontal="left" vertical="top" wrapText="1"/>
    </xf>
    <xf numFmtId="0" fontId="0" fillId="0" borderId="14" xfId="0" applyBorder="1" applyAlignment="1">
      <alignment horizontal="left" vertical="top" wrapText="1"/>
    </xf>
    <xf numFmtId="0" fontId="0" fillId="0" borderId="0" xfId="0" applyBorder="1" applyAlignment="1">
      <alignment horizontal="left" vertical="top" wrapText="1"/>
    </xf>
    <xf numFmtId="0" fontId="0" fillId="0" borderId="13"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10" fillId="0" borderId="0" xfId="0" applyFont="1" applyAlignment="1">
      <alignment horizontal="center" vertical="center"/>
    </xf>
    <xf numFmtId="0" fontId="19" fillId="0" borderId="0" xfId="2" applyFont="1" applyAlignment="1">
      <alignment horizontal="center" vertical="center" wrapText="1"/>
    </xf>
    <xf numFmtId="0" fontId="20" fillId="0" borderId="0" xfId="0" applyFont="1" applyAlignment="1">
      <alignment horizontal="center" vertical="center"/>
    </xf>
    <xf numFmtId="0" fontId="25" fillId="0" borderId="23" xfId="2" applyFont="1" applyBorder="1" applyAlignment="1" applyProtection="1">
      <alignment horizontal="left" vertical="center"/>
      <protection locked="0" hidden="1"/>
    </xf>
    <xf numFmtId="0" fontId="25" fillId="0" borderId="28" xfId="2" applyFont="1" applyBorder="1" applyAlignment="1" applyProtection="1">
      <alignment horizontal="center" vertical="center"/>
      <protection locked="0" hidden="1"/>
    </xf>
    <xf numFmtId="0" fontId="25" fillId="0" borderId="27" xfId="2" applyFont="1" applyBorder="1" applyAlignment="1" applyProtection="1">
      <alignment horizontal="center" vertical="center"/>
      <protection locked="0" hidden="1"/>
    </xf>
    <xf numFmtId="0" fontId="25" fillId="0" borderId="28" xfId="2" applyFont="1" applyFill="1" applyBorder="1" applyAlignment="1" applyProtection="1">
      <alignment horizontal="center" vertical="center"/>
      <protection locked="0" hidden="1"/>
    </xf>
    <xf numFmtId="0" fontId="25" fillId="0" borderId="27" xfId="2" applyFont="1" applyFill="1" applyBorder="1" applyAlignment="1" applyProtection="1">
      <alignment horizontal="center" vertical="center"/>
      <protection locked="0" hidden="1"/>
    </xf>
    <xf numFmtId="0" fontId="24" fillId="8" borderId="26" xfId="0" applyFont="1" applyFill="1" applyBorder="1" applyAlignment="1" applyProtection="1">
      <alignment horizontal="left" vertical="center" wrapText="1"/>
      <protection hidden="1"/>
    </xf>
    <xf numFmtId="0" fontId="24" fillId="8" borderId="28" xfId="0" applyFont="1" applyFill="1" applyBorder="1" applyAlignment="1" applyProtection="1">
      <alignment horizontal="left" vertical="center" wrapText="1"/>
      <protection hidden="1"/>
    </xf>
    <xf numFmtId="0" fontId="24" fillId="8" borderId="27" xfId="0" applyFont="1" applyFill="1" applyBorder="1" applyAlignment="1" applyProtection="1">
      <alignment horizontal="left" vertical="center" wrapText="1"/>
      <protection hidden="1"/>
    </xf>
    <xf numFmtId="0" fontId="23" fillId="4" borderId="26" xfId="2" applyFont="1" applyFill="1" applyBorder="1" applyAlignment="1" applyProtection="1">
      <alignment horizontal="center" vertical="center"/>
      <protection hidden="1"/>
    </xf>
    <xf numFmtId="0" fontId="23" fillId="4" borderId="28" xfId="2" applyFont="1" applyFill="1" applyBorder="1" applyAlignment="1" applyProtection="1">
      <alignment horizontal="center" vertical="center"/>
      <protection hidden="1"/>
    </xf>
    <xf numFmtId="0" fontId="23" fillId="4" borderId="27" xfId="2" applyFont="1" applyFill="1" applyBorder="1" applyAlignment="1" applyProtection="1">
      <alignment horizontal="center" vertical="center"/>
      <protection hidden="1"/>
    </xf>
    <xf numFmtId="0" fontId="27" fillId="0" borderId="23" xfId="0" applyFont="1" applyBorder="1" applyAlignment="1" applyProtection="1">
      <alignment horizontal="center" vertical="center"/>
    </xf>
    <xf numFmtId="0" fontId="26" fillId="0" borderId="23" xfId="0" applyFont="1" applyBorder="1" applyAlignment="1" applyProtection="1">
      <alignment horizontal="left" vertical="center"/>
      <protection locked="0"/>
    </xf>
    <xf numFmtId="0" fontId="26" fillId="0" borderId="17" xfId="0" applyFont="1" applyFill="1" applyBorder="1" applyAlignment="1" applyProtection="1">
      <alignment horizontal="center" vertical="center"/>
      <protection locked="0"/>
    </xf>
    <xf numFmtId="0" fontId="26" fillId="0" borderId="19" xfId="0" applyFont="1" applyFill="1" applyBorder="1" applyAlignment="1" applyProtection="1">
      <alignment horizontal="center" vertical="center"/>
      <protection locked="0"/>
    </xf>
    <xf numFmtId="0" fontId="26" fillId="0" borderId="14" xfId="0" applyFont="1" applyFill="1" applyBorder="1" applyAlignment="1" applyProtection="1">
      <alignment horizontal="center" vertical="center"/>
      <protection locked="0"/>
    </xf>
    <xf numFmtId="0" fontId="26" fillId="0" borderId="13" xfId="0" applyFont="1" applyFill="1" applyBorder="1" applyAlignment="1" applyProtection="1">
      <alignment horizontal="center" vertical="center"/>
      <protection locked="0"/>
    </xf>
    <xf numFmtId="0" fontId="26" fillId="0" borderId="20" xfId="0" applyFont="1" applyFill="1" applyBorder="1" applyAlignment="1" applyProtection="1">
      <alignment horizontal="center" vertical="center"/>
      <protection locked="0"/>
    </xf>
    <xf numFmtId="0" fontId="26" fillId="0" borderId="22" xfId="0" applyFont="1" applyFill="1" applyBorder="1" applyAlignment="1" applyProtection="1">
      <alignment horizontal="center" vertical="center"/>
      <protection locked="0"/>
    </xf>
    <xf numFmtId="0" fontId="12" fillId="9" borderId="23" xfId="2" applyFill="1" applyBorder="1" applyAlignment="1" applyProtection="1">
      <alignment horizontal="center"/>
    </xf>
    <xf numFmtId="0" fontId="12" fillId="0" borderId="0" xfId="2" applyAlignment="1">
      <alignment horizontal="center"/>
    </xf>
    <xf numFmtId="0" fontId="23" fillId="4" borderId="17" xfId="2" applyFont="1" applyFill="1" applyBorder="1" applyAlignment="1" applyProtection="1">
      <alignment horizontal="center" vertical="center" wrapText="1"/>
      <protection hidden="1"/>
    </xf>
    <xf numFmtId="0" fontId="23" fillId="4" borderId="18" xfId="2" applyFont="1" applyFill="1" applyBorder="1" applyAlignment="1" applyProtection="1">
      <alignment horizontal="center" vertical="center" wrapText="1"/>
      <protection hidden="1"/>
    </xf>
    <xf numFmtId="0" fontId="31" fillId="0" borderId="17" xfId="2" applyFont="1" applyBorder="1" applyAlignment="1" applyProtection="1">
      <alignment horizontal="center" vertical="center" wrapText="1"/>
      <protection hidden="1"/>
    </xf>
    <xf numFmtId="0" fontId="30" fillId="0" borderId="19" xfId="2" applyFont="1" applyBorder="1" applyAlignment="1" applyProtection="1">
      <alignment horizontal="center" vertical="center" wrapText="1"/>
      <protection hidden="1"/>
    </xf>
    <xf numFmtId="0" fontId="30" fillId="0" borderId="14" xfId="2" applyFont="1" applyBorder="1" applyAlignment="1" applyProtection="1">
      <alignment horizontal="center" vertical="center" wrapText="1"/>
      <protection hidden="1"/>
    </xf>
    <xf numFmtId="0" fontId="30" fillId="0" borderId="13" xfId="2" applyFont="1" applyBorder="1" applyAlignment="1" applyProtection="1">
      <alignment horizontal="center" vertical="center" wrapText="1"/>
      <protection hidden="1"/>
    </xf>
    <xf numFmtId="0" fontId="30" fillId="0" borderId="20" xfId="2" applyFont="1" applyBorder="1" applyAlignment="1" applyProtection="1">
      <alignment horizontal="center" vertical="center" wrapText="1"/>
      <protection hidden="1"/>
    </xf>
    <xf numFmtId="0" fontId="30" fillId="0" borderId="22" xfId="2" applyFont="1" applyBorder="1" applyAlignment="1" applyProtection="1">
      <alignment horizontal="center" vertical="center" wrapText="1"/>
      <protection hidden="1"/>
    </xf>
    <xf numFmtId="0" fontId="25" fillId="10" borderId="23" xfId="2" applyFont="1" applyFill="1" applyBorder="1" applyAlignment="1" applyProtection="1">
      <alignment horizontal="center" vertical="center"/>
      <protection locked="0" hidden="1"/>
    </xf>
    <xf numFmtId="0" fontId="23" fillId="4" borderId="26" xfId="2" applyFont="1" applyFill="1" applyBorder="1" applyAlignment="1" applyProtection="1">
      <alignment horizontal="center" vertical="center" wrapText="1"/>
      <protection hidden="1"/>
    </xf>
    <xf numFmtId="0" fontId="23" fillId="4" borderId="28" xfId="2" applyFont="1" applyFill="1" applyBorder="1" applyAlignment="1" applyProtection="1">
      <alignment horizontal="center" vertical="center" wrapText="1"/>
      <protection hidden="1"/>
    </xf>
    <xf numFmtId="0" fontId="23" fillId="4" borderId="27" xfId="2" applyFont="1" applyFill="1" applyBorder="1" applyAlignment="1" applyProtection="1">
      <alignment horizontal="center" vertical="center" wrapText="1"/>
      <protection hidden="1"/>
    </xf>
    <xf numFmtId="0" fontId="25" fillId="10" borderId="23" xfId="2" applyFont="1" applyFill="1" applyBorder="1" applyAlignment="1" applyProtection="1">
      <alignment horizontal="center" vertical="center" wrapText="1"/>
      <protection locked="0" hidden="1"/>
    </xf>
    <xf numFmtId="0" fontId="25" fillId="0" borderId="23" xfId="2" applyFont="1" applyBorder="1" applyAlignment="1" applyProtection="1">
      <alignment horizontal="center" vertical="center"/>
      <protection hidden="1"/>
    </xf>
    <xf numFmtId="0" fontId="12" fillId="0" borderId="26" xfId="2" applyNumberFormat="1" applyBorder="1" applyAlignment="1" applyProtection="1">
      <alignment horizontal="left" vertical="center" wrapText="1"/>
      <protection hidden="1"/>
    </xf>
    <xf numFmtId="0" fontId="12" fillId="0" borderId="28" xfId="2" applyNumberFormat="1" applyBorder="1" applyAlignment="1" applyProtection="1">
      <alignment horizontal="left" vertical="center" wrapText="1"/>
      <protection hidden="1"/>
    </xf>
    <xf numFmtId="0" fontId="12" fillId="0" borderId="27" xfId="2" applyNumberFormat="1" applyBorder="1" applyAlignment="1" applyProtection="1">
      <alignment horizontal="left" vertical="center" wrapText="1"/>
      <protection hidden="1"/>
    </xf>
    <xf numFmtId="0" fontId="25" fillId="0" borderId="26" xfId="2" applyFont="1" applyBorder="1" applyAlignment="1" applyProtection="1">
      <alignment horizontal="left" vertical="center" wrapText="1"/>
      <protection hidden="1"/>
    </xf>
    <xf numFmtId="0" fontId="25" fillId="0" borderId="28" xfId="2" applyFont="1" applyBorder="1" applyAlignment="1" applyProtection="1">
      <alignment horizontal="left" vertical="center" wrapText="1"/>
      <protection hidden="1"/>
    </xf>
    <xf numFmtId="0" fontId="25" fillId="0" borderId="27" xfId="2" applyFont="1" applyBorder="1" applyAlignment="1" applyProtection="1">
      <alignment horizontal="left" vertical="center" wrapText="1"/>
      <protection hidden="1"/>
    </xf>
    <xf numFmtId="0" fontId="23" fillId="4" borderId="26" xfId="0" applyFont="1" applyFill="1" applyBorder="1" applyAlignment="1" applyProtection="1">
      <alignment horizontal="left" vertical="center" wrapText="1" indent="1"/>
      <protection hidden="1"/>
    </xf>
    <xf numFmtId="0" fontId="0" fillId="4" borderId="28" xfId="0" applyFill="1" applyBorder="1" applyAlignment="1" applyProtection="1">
      <alignment horizontal="left" vertical="center" wrapText="1" indent="1"/>
      <protection hidden="1"/>
    </xf>
    <xf numFmtId="0" fontId="0" fillId="4" borderId="27" xfId="0" applyFill="1" applyBorder="1" applyAlignment="1" applyProtection="1">
      <alignment horizontal="left" vertical="center" wrapText="1" indent="1"/>
      <protection hidden="1"/>
    </xf>
    <xf numFmtId="0" fontId="24" fillId="8" borderId="26" xfId="2" applyFont="1" applyFill="1" applyBorder="1" applyAlignment="1" applyProtection="1">
      <alignment horizontal="center" vertical="center"/>
      <protection hidden="1"/>
    </xf>
    <xf numFmtId="0" fontId="24" fillId="8" borderId="28" xfId="2" applyFont="1" applyFill="1" applyBorder="1" applyAlignment="1" applyProtection="1">
      <alignment horizontal="center" vertical="center"/>
      <protection hidden="1"/>
    </xf>
    <xf numFmtId="0" fontId="24" fillId="8" borderId="27" xfId="2" applyFont="1" applyFill="1" applyBorder="1" applyAlignment="1" applyProtection="1">
      <alignment horizontal="center" vertical="center"/>
      <protection hidden="1"/>
    </xf>
    <xf numFmtId="0" fontId="24" fillId="8" borderId="23" xfId="2" applyFont="1" applyFill="1" applyBorder="1" applyAlignment="1" applyProtection="1">
      <alignment horizontal="center" vertical="center"/>
      <protection hidden="1"/>
    </xf>
    <xf numFmtId="0" fontId="28" fillId="6" borderId="26" xfId="2" applyFont="1" applyFill="1" applyBorder="1" applyAlignment="1" applyProtection="1">
      <alignment horizontal="center" vertical="center"/>
      <protection hidden="1"/>
    </xf>
    <xf numFmtId="0" fontId="28" fillId="6" borderId="28" xfId="2" applyFont="1" applyFill="1" applyBorder="1" applyAlignment="1" applyProtection="1">
      <alignment horizontal="center" vertical="center"/>
      <protection hidden="1"/>
    </xf>
    <xf numFmtId="0" fontId="28" fillId="6" borderId="27" xfId="2" applyFont="1" applyFill="1" applyBorder="1" applyAlignment="1" applyProtection="1">
      <alignment horizontal="center" vertical="center"/>
      <protection hidden="1"/>
    </xf>
    <xf numFmtId="1" fontId="25" fillId="0" borderId="23" xfId="2" applyNumberFormat="1" applyFont="1" applyBorder="1" applyAlignment="1" applyProtection="1">
      <alignment horizontal="center" vertical="center"/>
      <protection hidden="1"/>
    </xf>
    <xf numFmtId="2" fontId="25" fillId="0" borderId="23" xfId="2" applyNumberFormat="1" applyFont="1" applyBorder="1" applyAlignment="1" applyProtection="1">
      <alignment horizontal="center" vertical="center"/>
      <protection hidden="1"/>
    </xf>
  </cellXfs>
  <cellStyles count="3">
    <cellStyle name="Hyperlink" xfId="1" builtinId="8"/>
    <cellStyle name="Normal" xfId="0" builtinId="0"/>
    <cellStyle name="Normal 2" xfId="2" xr:uid="{00000000-0005-0000-0000-000002000000}"/>
  </cellStyles>
  <dxfs count="43">
    <dxf>
      <font>
        <b val="0"/>
        <i val="0"/>
        <strike val="0"/>
        <color rgb="FFFF0000"/>
      </font>
      <numFmt numFmtId="0" formatCode="General"/>
    </dxf>
    <dxf>
      <font>
        <color theme="0" tint="-0.24994659260841701"/>
      </font>
      <fill>
        <patternFill>
          <bgColor theme="0" tint="-0.24994659260841701"/>
        </patternFill>
      </fill>
    </dxf>
    <dxf>
      <font>
        <color theme="0" tint="-0.24994659260841701"/>
      </font>
      <fill>
        <patternFill>
          <bgColor theme="0" tint="-0.24994659260841701"/>
        </patternFill>
      </fill>
    </dxf>
    <dxf>
      <font>
        <color rgb="FFFF0000"/>
      </font>
    </dxf>
    <dxf>
      <font>
        <color theme="0" tint="-0.24994659260841701"/>
      </font>
      <fill>
        <patternFill>
          <bgColor theme="0" tint="-0.24994659260841701"/>
        </patternFill>
      </fill>
    </dxf>
    <dxf>
      <font>
        <color theme="0" tint="-0.24994659260841701"/>
      </font>
      <fill>
        <patternFill>
          <bgColor theme="0" tint="-0.24994659260841701"/>
        </patternFill>
      </fill>
    </dxf>
    <dxf>
      <font>
        <color rgb="FFFF0000"/>
      </font>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b val="0"/>
        <i val="0"/>
        <strike val="0"/>
        <color rgb="FFFF0000"/>
      </font>
    </dxf>
    <dxf>
      <font>
        <b/>
        <i val="0"/>
        <strike val="0"/>
        <color theme="1"/>
      </font>
      <numFmt numFmtId="0" formatCode="General"/>
    </dxf>
    <dxf>
      <font>
        <b/>
        <i val="0"/>
        <color theme="1"/>
      </font>
    </dxf>
    <dxf>
      <font>
        <b val="0"/>
        <i val="0"/>
        <strike val="0"/>
        <color rgb="FFFF0000"/>
      </font>
      <numFmt numFmtId="0" formatCode="General"/>
    </dxf>
  </dxfs>
  <tableStyles count="0" defaultTableStyle="TableStyleMedium9" defaultPivotStyle="PivotStyleLight16"/>
  <colors>
    <mruColors>
      <color rgb="FFCA1818"/>
      <color rgb="FF0000FF"/>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D7053240-CE69-11CD-A777-00DD01143C57}" r:id="rId1"/>
</file>

<file path=xl/activeX/activeX2.xml><?xml version="1.0" encoding="utf-8"?>
<ax:ocx xmlns:ax="http://schemas.microsoft.com/office/2006/activeX" xmlns:r="http://schemas.openxmlformats.org/officeDocument/2006/relationships" ax:classid="{D7053240-CE69-11CD-A777-00DD01143C57}" r:id="rId1"/>
</file>

<file path=xl/activeX/activeX3.xml><?xml version="1.0" encoding="utf-8"?>
<ax:ocx xmlns:ax="http://schemas.microsoft.com/office/2006/activeX" xmlns:r="http://schemas.openxmlformats.org/officeDocument/2006/relationships" ax:classid="{D7053240-CE69-11CD-A777-00DD01143C57}" r:id="rId1"/>
</file>

<file path=xl/activeX/activeX4.xml><?xml version="1.0" encoding="utf-8"?>
<ax:ocx xmlns:ax="http://schemas.microsoft.com/office/2006/activeX" xmlns:r="http://schemas.openxmlformats.org/officeDocument/2006/relationships" ax:classid="{D7053240-CE69-11CD-A777-00DD01143C57}" r:id="rId1"/>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9.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4"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2</xdr:col>
      <xdr:colOff>604012</xdr:colOff>
      <xdr:row>22</xdr:row>
      <xdr:rowOff>129540</xdr:rowOff>
    </xdr:from>
    <xdr:to>
      <xdr:col>2</xdr:col>
      <xdr:colOff>2241996</xdr:colOff>
      <xdr:row>32</xdr:row>
      <xdr:rowOff>106680</xdr:rowOff>
    </xdr:to>
    <xdr:pic>
      <xdr:nvPicPr>
        <xdr:cNvPr id="2064" name="Picture 16" descr="C:\Projets-MP\MNECB System Efficiency\Trade Off Tool\2011_cneb.jpg">
          <a:extLst>
            <a:ext uri="{FF2B5EF4-FFF2-40B4-BE49-F238E27FC236}">
              <a16:creationId xmlns:a16="http://schemas.microsoft.com/office/drawing/2014/main" id="{00000000-0008-0000-0000-000010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23212" y="4183380"/>
          <a:ext cx="1685544" cy="1805940"/>
        </a:xfrm>
        <a:prstGeom prst="rect">
          <a:avLst/>
        </a:prstGeom>
        <a:noFill/>
      </xdr:spPr>
    </xdr:pic>
    <xdr:clientData/>
  </xdr:twoCellAnchor>
  <xdr:twoCellAnchor editAs="oneCell">
    <xdr:from>
      <xdr:col>3</xdr:col>
      <xdr:colOff>662940</xdr:colOff>
      <xdr:row>22</xdr:row>
      <xdr:rowOff>129540</xdr:rowOff>
    </xdr:from>
    <xdr:to>
      <xdr:col>3</xdr:col>
      <xdr:colOff>2301240</xdr:colOff>
      <xdr:row>32</xdr:row>
      <xdr:rowOff>109696</xdr:rowOff>
    </xdr:to>
    <xdr:pic>
      <xdr:nvPicPr>
        <xdr:cNvPr id="3" name="Picture 2" descr="necb-cover.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stretch>
          <a:fillRect/>
        </a:stretch>
      </xdr:blipFill>
      <xdr:spPr>
        <a:xfrm>
          <a:off x="3703320" y="4183380"/>
          <a:ext cx="1638300" cy="1808956"/>
        </a:xfrm>
        <a:prstGeom prst="rect">
          <a:avLst/>
        </a:prstGeom>
      </xdr:spPr>
    </xdr:pic>
    <xdr:clientData/>
  </xdr:twoCellAnchor>
  <xdr:twoCellAnchor editAs="oneCell">
    <xdr:from>
      <xdr:col>1</xdr:col>
      <xdr:colOff>403860</xdr:colOff>
      <xdr:row>0</xdr:row>
      <xdr:rowOff>45720</xdr:rowOff>
    </xdr:from>
    <xdr:to>
      <xdr:col>3</xdr:col>
      <xdr:colOff>323429</xdr:colOff>
      <xdr:row>1</xdr:row>
      <xdr:rowOff>166116</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stretch>
          <a:fillRect/>
        </a:stretch>
      </xdr:blipFill>
      <xdr:spPr>
        <a:xfrm>
          <a:off x="1013460" y="45720"/>
          <a:ext cx="2843022" cy="303276"/>
        </a:xfrm>
        <a:prstGeom prst="rect">
          <a:avLst/>
        </a:prstGeom>
      </xdr:spPr>
    </xdr:pic>
    <xdr:clientData/>
  </xdr:twoCellAnchor>
  <xdr:twoCellAnchor editAs="oneCell">
    <xdr:from>
      <xdr:col>4</xdr:col>
      <xdr:colOff>30480</xdr:colOff>
      <xdr:row>33</xdr:row>
      <xdr:rowOff>243840</xdr:rowOff>
    </xdr:from>
    <xdr:to>
      <xdr:col>5</xdr:col>
      <xdr:colOff>666750</xdr:colOff>
      <xdr:row>34</xdr:row>
      <xdr:rowOff>47625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print"/>
        <a:stretch>
          <a:fillRect/>
        </a:stretch>
      </xdr:blipFill>
      <xdr:spPr>
        <a:xfrm>
          <a:off x="6096000" y="6614160"/>
          <a:ext cx="1116330" cy="276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419100</xdr:colOff>
          <xdr:row>0</xdr:row>
          <xdr:rowOff>190500</xdr:rowOff>
        </xdr:from>
        <xdr:to>
          <xdr:col>4</xdr:col>
          <xdr:colOff>2133600</xdr:colOff>
          <xdr:row>2</xdr:row>
          <xdr:rowOff>66675</xdr:rowOff>
        </xdr:to>
        <xdr:sp macro="" textlink="">
          <xdr:nvSpPr>
            <xdr:cNvPr id="1030" name="CommandButton1"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xdr:row>
          <xdr:rowOff>0</xdr:rowOff>
        </xdr:from>
        <xdr:to>
          <xdr:col>4</xdr:col>
          <xdr:colOff>2162175</xdr:colOff>
          <xdr:row>4</xdr:row>
          <xdr:rowOff>66675</xdr:rowOff>
        </xdr:to>
        <xdr:sp macro="" textlink="">
          <xdr:nvSpPr>
            <xdr:cNvPr id="1031" name="CommandButton2"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0</xdr:row>
          <xdr:rowOff>180975</xdr:rowOff>
        </xdr:from>
        <xdr:to>
          <xdr:col>9</xdr:col>
          <xdr:colOff>600075</xdr:colOff>
          <xdr:row>2</xdr:row>
          <xdr:rowOff>57150</xdr:rowOff>
        </xdr:to>
        <xdr:sp macro="" textlink="">
          <xdr:nvSpPr>
            <xdr:cNvPr id="1032" name="CommandButton3"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2</xdr:row>
          <xdr:rowOff>180975</xdr:rowOff>
        </xdr:from>
        <xdr:to>
          <xdr:col>9</xdr:col>
          <xdr:colOff>590550</xdr:colOff>
          <xdr:row>4</xdr:row>
          <xdr:rowOff>57150</xdr:rowOff>
        </xdr:to>
        <xdr:sp macro="" textlink="">
          <xdr:nvSpPr>
            <xdr:cNvPr id="1033" name="CommandButton4"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xdr:col>
      <xdr:colOff>1014035</xdr:colOff>
      <xdr:row>0</xdr:row>
      <xdr:rowOff>117021</xdr:rowOff>
    </xdr:from>
    <xdr:to>
      <xdr:col>5</xdr:col>
      <xdr:colOff>1045331</xdr:colOff>
      <xdr:row>0</xdr:row>
      <xdr:rowOff>1038225</xdr:rowOff>
    </xdr:to>
    <xdr:sp macro="" textlink="">
      <xdr:nvSpPr>
        <xdr:cNvPr id="18" name="TextBox 17">
          <a:extLst>
            <a:ext uri="{FF2B5EF4-FFF2-40B4-BE49-F238E27FC236}">
              <a16:creationId xmlns:a16="http://schemas.microsoft.com/office/drawing/2014/main" id="{00000000-0008-0000-0400-000012000000}"/>
            </a:ext>
          </a:extLst>
        </xdr:cNvPr>
        <xdr:cNvSpPr txBox="1"/>
      </xdr:nvSpPr>
      <xdr:spPr>
        <a:xfrm>
          <a:off x="5226202" y="117021"/>
          <a:ext cx="2761796" cy="9212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lang="en-CA" sz="2400">
              <a:latin typeface="Arial" pitchFamily="34" charset="0"/>
              <a:cs typeface="Arial" pitchFamily="34" charset="0"/>
            </a:rPr>
            <a:t>Part 4: Lighting</a:t>
          </a:r>
        </a:p>
        <a:p>
          <a:pPr algn="r"/>
          <a:r>
            <a:rPr lang="en-CA" sz="1400">
              <a:latin typeface="Arial" pitchFamily="34" charset="0"/>
              <a:cs typeface="Arial" pitchFamily="34" charset="0"/>
            </a:rPr>
            <a:t>Trade</a:t>
          </a:r>
          <a:r>
            <a:rPr lang="en-CA" sz="1400" baseline="0">
              <a:latin typeface="Arial" pitchFamily="34" charset="0"/>
              <a:cs typeface="Arial" pitchFamily="34" charset="0"/>
            </a:rPr>
            <a:t>-off Compliance Report</a:t>
          </a:r>
        </a:p>
        <a:p>
          <a:pPr algn="r"/>
          <a:r>
            <a:rPr lang="en-CA" sz="1100" baseline="0">
              <a:latin typeface="Arial" pitchFamily="34" charset="0"/>
              <a:cs typeface="Arial" pitchFamily="34" charset="0"/>
            </a:rPr>
            <a:t>(2016/02) </a:t>
          </a:r>
          <a:endParaRPr lang="en-CA" sz="1100">
            <a:latin typeface="Arial" pitchFamily="34" charset="0"/>
            <a:cs typeface="Arial" pitchFamily="34" charset="0"/>
          </a:endParaRPr>
        </a:p>
      </xdr:txBody>
    </xdr:sp>
    <xdr:clientData/>
  </xdr:twoCellAnchor>
  <xdr:twoCellAnchor>
    <xdr:from>
      <xdr:col>10</xdr:col>
      <xdr:colOff>80297</xdr:colOff>
      <xdr:row>22</xdr:row>
      <xdr:rowOff>119742</xdr:rowOff>
    </xdr:from>
    <xdr:to>
      <xdr:col>12</xdr:col>
      <xdr:colOff>272142</xdr:colOff>
      <xdr:row>25</xdr:row>
      <xdr:rowOff>0</xdr:rowOff>
    </xdr:to>
    <xdr:sp macro="" textlink="">
      <xdr:nvSpPr>
        <xdr:cNvPr id="19" name="TextBox 18">
          <a:extLst>
            <a:ext uri="{FF2B5EF4-FFF2-40B4-BE49-F238E27FC236}">
              <a16:creationId xmlns:a16="http://schemas.microsoft.com/office/drawing/2014/main" id="{00000000-0008-0000-0400-000013000000}"/>
            </a:ext>
          </a:extLst>
        </xdr:cNvPr>
        <xdr:cNvSpPr txBox="1"/>
      </xdr:nvSpPr>
      <xdr:spPr>
        <a:xfrm>
          <a:off x="6404897" y="8837022"/>
          <a:ext cx="1479625" cy="8817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CA" sz="900" baseline="0"/>
            <a:t>  </a:t>
          </a:r>
          <a:r>
            <a:rPr lang="en-CA" sz="900" baseline="0">
              <a:solidFill>
                <a:schemeClr val="bg1">
                  <a:lumMod val="75000"/>
                </a:schemeClr>
              </a:solidFill>
              <a:latin typeface="Arial" pitchFamily="34" charset="0"/>
              <a:cs typeface="Arial" pitchFamily="34" charset="0"/>
            </a:rPr>
            <a:t>STAMP REQUIRED</a:t>
          </a:r>
        </a:p>
        <a:p>
          <a:pPr algn="ctr"/>
          <a:r>
            <a:rPr lang="en-CA" sz="900" baseline="0">
              <a:solidFill>
                <a:schemeClr val="bg1">
                  <a:lumMod val="75000"/>
                </a:schemeClr>
              </a:solidFill>
              <a:latin typeface="Arial" pitchFamily="34" charset="0"/>
              <a:cs typeface="Arial" pitchFamily="34" charset="0"/>
            </a:rPr>
            <a:t> for projects requiring professional involvement under the Alberta Building Code</a:t>
          </a:r>
          <a:endParaRPr lang="en-CA" sz="900">
            <a:solidFill>
              <a:schemeClr val="bg1">
                <a:lumMod val="75000"/>
              </a:schemeClr>
            </a:solidFill>
            <a:latin typeface="Arial" pitchFamily="34" charset="0"/>
            <a:cs typeface="Arial" pitchFamily="34" charset="0"/>
          </a:endParaRPr>
        </a:p>
      </xdr:txBody>
    </xdr:sp>
    <xdr:clientData/>
  </xdr:twoCellAnchor>
  <xdr:twoCellAnchor>
    <xdr:from>
      <xdr:col>4</xdr:col>
      <xdr:colOff>619128</xdr:colOff>
      <xdr:row>22</xdr:row>
      <xdr:rowOff>194581</xdr:rowOff>
    </xdr:from>
    <xdr:to>
      <xdr:col>5</xdr:col>
      <xdr:colOff>624420</xdr:colOff>
      <xdr:row>25</xdr:row>
      <xdr:rowOff>148165</xdr:rowOff>
    </xdr:to>
    <xdr:sp macro="" textlink="">
      <xdr:nvSpPr>
        <xdr:cNvPr id="20" name="TextBox 19">
          <a:extLst>
            <a:ext uri="{FF2B5EF4-FFF2-40B4-BE49-F238E27FC236}">
              <a16:creationId xmlns:a16="http://schemas.microsoft.com/office/drawing/2014/main" id="{00000000-0008-0000-0400-000014000000}"/>
            </a:ext>
          </a:extLst>
        </xdr:cNvPr>
        <xdr:cNvSpPr txBox="1"/>
      </xdr:nvSpPr>
      <xdr:spPr>
        <a:xfrm>
          <a:off x="6217711" y="9613748"/>
          <a:ext cx="1391709" cy="10965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CA" sz="900" baseline="0">
              <a:solidFill>
                <a:schemeClr val="bg1">
                  <a:lumMod val="65000"/>
                </a:schemeClr>
              </a:solidFill>
            </a:rPr>
            <a:t>  </a:t>
          </a:r>
          <a:r>
            <a:rPr lang="en-CA" sz="900" baseline="0">
              <a:solidFill>
                <a:schemeClr val="bg1">
                  <a:lumMod val="65000"/>
                </a:schemeClr>
              </a:solidFill>
              <a:latin typeface="Arial" pitchFamily="34" charset="0"/>
              <a:cs typeface="Arial" pitchFamily="34" charset="0"/>
            </a:rPr>
            <a:t>STAMP REQUIRED</a:t>
          </a:r>
        </a:p>
        <a:p>
          <a:pPr algn="ctr"/>
          <a:r>
            <a:rPr lang="en-CA" sz="900" baseline="0">
              <a:solidFill>
                <a:schemeClr val="bg1">
                  <a:lumMod val="65000"/>
                </a:schemeClr>
              </a:solidFill>
              <a:latin typeface="Arial" pitchFamily="34" charset="0"/>
              <a:cs typeface="Arial" pitchFamily="34" charset="0"/>
            </a:rPr>
            <a:t> for projects requiring professional involvement under the Alberta Building Code</a:t>
          </a:r>
        </a:p>
      </xdr:txBody>
    </xdr:sp>
    <xdr:clientData/>
  </xdr:twoCellAnchor>
  <mc:AlternateContent xmlns:mc="http://schemas.openxmlformats.org/markup-compatibility/2006">
    <mc:Choice xmlns:a14="http://schemas.microsoft.com/office/drawing/2010/main" Requires="a14">
      <xdr:twoCellAnchor editAs="oneCell">
        <xdr:from>
          <xdr:col>0</xdr:col>
          <xdr:colOff>561975</xdr:colOff>
          <xdr:row>19</xdr:row>
          <xdr:rowOff>114300</xdr:rowOff>
        </xdr:from>
        <xdr:to>
          <xdr:col>1</xdr:col>
          <xdr:colOff>19050</xdr:colOff>
          <xdr:row>19</xdr:row>
          <xdr:rowOff>438150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561975</xdr:colOff>
          <xdr:row>21</xdr:row>
          <xdr:rowOff>114300</xdr:rowOff>
        </xdr:from>
        <xdr:to>
          <xdr:col>1</xdr:col>
          <xdr:colOff>19050</xdr:colOff>
          <xdr:row>21</xdr:row>
          <xdr:rowOff>438150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4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0</xdr:col>
      <xdr:colOff>0</xdr:colOff>
      <xdr:row>0</xdr:row>
      <xdr:rowOff>0</xdr:rowOff>
    </xdr:from>
    <xdr:to>
      <xdr:col>1</xdr:col>
      <xdr:colOff>423334</xdr:colOff>
      <xdr:row>0</xdr:row>
      <xdr:rowOff>1247732</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862667" cy="124773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6.emf"/><Relationship Id="rId12" Type="http://schemas.openxmlformats.org/officeDocument/2006/relationships/comments" Target="../comments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8.emf"/><Relationship Id="rId5" Type="http://schemas.openxmlformats.org/officeDocument/2006/relationships/image" Target="../media/image5.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7.emf"/></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F35"/>
  <sheetViews>
    <sheetView showGridLines="0" zoomScale="85" zoomScaleNormal="85" workbookViewId="0">
      <selection activeCell="C5" sqref="C5:E10"/>
    </sheetView>
  </sheetViews>
  <sheetFormatPr defaultColWidth="0" defaultRowHeight="15" zeroHeight="1" x14ac:dyDescent="0.25"/>
  <cols>
    <col min="1" max="2" width="8.85546875" customWidth="1"/>
    <col min="3" max="3" width="34" bestFit="1" customWidth="1"/>
    <col min="4" max="4" width="44.140625" customWidth="1"/>
    <col min="5" max="5" width="7" customWidth="1"/>
    <col min="6" max="6" width="10.7109375" customWidth="1"/>
    <col min="7" max="16384" width="8.85546875" hidden="1"/>
  </cols>
  <sheetData>
    <row r="1" spans="1:6" x14ac:dyDescent="0.25"/>
    <row r="2" spans="1:6" x14ac:dyDescent="0.25"/>
    <row r="3" spans="1:6" ht="38.450000000000003" customHeight="1" x14ac:dyDescent="0.25">
      <c r="A3" s="128" t="str">
        <f>IF(D20="English","NECB 2011 Part 4 - Lighting Trade-Off Path Compliance Calculation Tool","Outil de conformité par la méthode de remplacement pour la partie 4 du CNÉB 2011")</f>
        <v>NECB 2011 Part 4 - Lighting Trade-Off Path Compliance Calculation Tool</v>
      </c>
      <c r="B3" s="128"/>
      <c r="C3" s="128"/>
      <c r="D3" s="128"/>
      <c r="E3" s="128"/>
      <c r="F3" s="128"/>
    </row>
    <row r="4" spans="1:6" x14ac:dyDescent="0.25">
      <c r="E4" s="72"/>
    </row>
    <row r="5" spans="1:6" x14ac:dyDescent="0.25">
      <c r="C5" s="119" t="str">
        <f>Tables!CC4</f>
        <v>This tool can be used to demonstrate compliance with the NECB 2011 Part 4 (Lighting) Trade-Off path. Users must define the building’s area and lighting systems using the Space-by-space method. The Trade-Off worksheet allows the entry of all required information, fields highlighted in BLUE, to define each space and its lighting system.  The total building Gross Floor Area must be defined in the Trade-off worksheet for the compliance calculations to be valid.</v>
      </c>
      <c r="D5" s="120"/>
      <c r="E5" s="121"/>
    </row>
    <row r="6" spans="1:6" x14ac:dyDescent="0.25">
      <c r="C6" s="122"/>
      <c r="D6" s="123"/>
      <c r="E6" s="124"/>
    </row>
    <row r="7" spans="1:6" x14ac:dyDescent="0.25">
      <c r="C7" s="122"/>
      <c r="D7" s="123"/>
      <c r="E7" s="124"/>
    </row>
    <row r="8" spans="1:6" x14ac:dyDescent="0.25">
      <c r="C8" s="122"/>
      <c r="D8" s="123"/>
      <c r="E8" s="124"/>
    </row>
    <row r="9" spans="1:6" x14ac:dyDescent="0.25">
      <c r="C9" s="122"/>
      <c r="D9" s="123"/>
      <c r="E9" s="124"/>
    </row>
    <row r="10" spans="1:6" x14ac:dyDescent="0.25">
      <c r="C10" s="125"/>
      <c r="D10" s="126"/>
      <c r="E10" s="127"/>
    </row>
    <row r="11" spans="1:6" x14ac:dyDescent="0.25"/>
    <row r="12" spans="1:6" x14ac:dyDescent="0.25"/>
    <row r="13" spans="1:6" ht="15.75" thickBot="1" x14ac:dyDescent="0.3"/>
    <row r="14" spans="1:6" x14ac:dyDescent="0.25">
      <c r="C14" s="117" t="str">
        <f>IF(D20="English","Building Data","Données sur le bâtiment")</f>
        <v>Building Data</v>
      </c>
      <c r="D14" s="118"/>
    </row>
    <row r="15" spans="1:6" x14ac:dyDescent="0.25">
      <c r="C15" s="31" t="str">
        <f>IF(D20="English","Building Name","Nom du bâtiment")</f>
        <v>Building Name</v>
      </c>
      <c r="D15" s="42" t="s">
        <v>678</v>
      </c>
    </row>
    <row r="16" spans="1:6" x14ac:dyDescent="0.25">
      <c r="C16" s="32" t="str">
        <f>IF(D20="English","Address","Adresse")</f>
        <v>Address</v>
      </c>
      <c r="D16" s="42" t="s">
        <v>324</v>
      </c>
    </row>
    <row r="17" spans="3:4" x14ac:dyDescent="0.25">
      <c r="C17" s="32" t="str">
        <f>IF(D20="English",CONCATENATE("Total Gross Floor Area - ",Tables!BS10),CONCATENATE("Aire totale brute - ",Tables!BS10))</f>
        <v>Total Gross Floor Area - m2</v>
      </c>
      <c r="D17" s="95">
        <v>2000.0000000000002</v>
      </c>
    </row>
    <row r="18" spans="3:4" ht="15.75" thickBot="1" x14ac:dyDescent="0.3">
      <c r="C18" s="29" t="str">
        <f>IF(D20="English","Annual Number of days of operation","Nombre de jours d'opération annuel")</f>
        <v>Annual Number of days of operation</v>
      </c>
      <c r="D18" s="33">
        <v>250</v>
      </c>
    </row>
    <row r="19" spans="3:4" ht="15.75" thickBot="1" x14ac:dyDescent="0.3"/>
    <row r="20" spans="3:4" x14ac:dyDescent="0.25">
      <c r="C20" s="30" t="str">
        <f>IF(D20="English","Language","Langage")</f>
        <v>Language</v>
      </c>
      <c r="D20" s="34" t="s">
        <v>262</v>
      </c>
    </row>
    <row r="21" spans="3:4" ht="15.75" thickBot="1" x14ac:dyDescent="0.3">
      <c r="C21" s="29" t="str">
        <f>IF(D20="English","Units","Unités")</f>
        <v>Units</v>
      </c>
      <c r="D21" s="33" t="s">
        <v>259</v>
      </c>
    </row>
    <row r="22" spans="3:4" x14ac:dyDescent="0.25"/>
    <row r="23" spans="3:4" x14ac:dyDescent="0.25"/>
    <row r="24" spans="3:4" x14ac:dyDescent="0.25"/>
    <row r="25" spans="3:4" x14ac:dyDescent="0.25"/>
    <row r="26" spans="3:4" x14ac:dyDescent="0.25"/>
    <row r="27" spans="3:4" x14ac:dyDescent="0.25"/>
    <row r="28" spans="3:4" x14ac:dyDescent="0.25"/>
    <row r="29" spans="3:4" x14ac:dyDescent="0.25"/>
    <row r="30" spans="3:4" x14ac:dyDescent="0.25"/>
    <row r="31" spans="3:4" x14ac:dyDescent="0.25"/>
    <row r="32" spans="3:4" x14ac:dyDescent="0.25"/>
    <row r="33" spans="3:4" x14ac:dyDescent="0.25"/>
    <row r="34" spans="3:4" ht="37.15" customHeight="1" x14ac:dyDescent="0.25">
      <c r="C34" s="129" t="str">
        <f>Tables!CI4</f>
        <v>This tool is the property of Natural Resources Canada. All rights reserved. No part of this tool may be reproduced, modified, distributed, published, sold, licensed, broadcasted, retransmitted, circulated in any form or used this tool in any way other than for compliance to the 2011 NECB.</v>
      </c>
      <c r="D34" s="130"/>
    </row>
    <row r="35" spans="3:4" x14ac:dyDescent="0.25"/>
  </sheetData>
  <sheetProtection password="CC3D" sheet="1" objects="1" scenarios="1"/>
  <protectedRanges>
    <protectedRange sqref="D15:D18 D20:D21" name="Range1"/>
  </protectedRanges>
  <mergeCells count="4">
    <mergeCell ref="C14:D14"/>
    <mergeCell ref="C5:E10"/>
    <mergeCell ref="A3:F3"/>
    <mergeCell ref="C34:D34"/>
  </mergeCells>
  <dataValidations count="4">
    <dataValidation type="list" allowBlank="1" showInputMessage="1" showErrorMessage="1" sqref="D21" xr:uid="{00000000-0002-0000-0000-000000000000}">
      <formula1>Units</formula1>
    </dataValidation>
    <dataValidation type="list" allowBlank="1" showInputMessage="1" showErrorMessage="1" sqref="D20" xr:uid="{00000000-0002-0000-0000-000001000000}">
      <formula1>Language</formula1>
    </dataValidation>
    <dataValidation type="decimal" operator="greaterThan" allowBlank="1" showInputMessage="1" showErrorMessage="1" errorTitle="Gross Floor Area" error="Area must be greater than 0" promptTitle="Building Gross Floor Area" prompt="Enter the building total gross floor area" sqref="D17" xr:uid="{00000000-0002-0000-0000-000002000000}">
      <formula1>0</formula1>
    </dataValidation>
    <dataValidation type="whole" allowBlank="1" showInputMessage="1" showErrorMessage="1" sqref="D18" xr:uid="{00000000-0002-0000-0000-000003000000}">
      <formula1>1</formula1>
      <formula2>365</formula2>
    </dataValidation>
  </dataValidations>
  <pageMargins left="0.7" right="0.7" top="0.75" bottom="0.75" header="0.3" footer="0.3"/>
  <pageSetup scale="79"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FS151"/>
  <sheetViews>
    <sheetView showGridLines="0" zoomScaleNormal="100" workbookViewId="0">
      <selection activeCell="N7" sqref="N7"/>
    </sheetView>
  </sheetViews>
  <sheetFormatPr defaultColWidth="8.85546875" defaultRowHeight="15" zeroHeight="1" x14ac:dyDescent="0.25"/>
  <cols>
    <col min="1" max="1" width="14.7109375" style="4" bestFit="1" customWidth="1"/>
    <col min="2" max="2" width="25.42578125" style="4" customWidth="1"/>
    <col min="3" max="3" width="32.42578125" style="4" customWidth="1"/>
    <col min="4" max="4" width="9.42578125" style="4" bestFit="1" customWidth="1"/>
    <col min="5" max="6" width="34.5703125" style="4" customWidth="1"/>
    <col min="7" max="7" width="11.28515625" style="4" customWidth="1"/>
    <col min="8" max="8" width="17.5703125" style="4" customWidth="1"/>
    <col min="9" max="9" width="13.7109375" style="4" customWidth="1"/>
    <col min="10" max="10" width="14.7109375" style="4" customWidth="1"/>
    <col min="11" max="11" width="14.7109375" style="4" bestFit="1" customWidth="1"/>
    <col min="12" max="14" width="14.42578125" style="4" customWidth="1"/>
    <col min="15" max="15" width="14.28515625" style="4" customWidth="1"/>
    <col min="16" max="16" width="17.85546875" style="4" bestFit="1" customWidth="1"/>
    <col min="17" max="17" width="19.28515625" style="4" customWidth="1"/>
    <col min="18" max="18" width="16.7109375" style="4" customWidth="1"/>
    <col min="19" max="19" width="23.42578125" style="4" customWidth="1"/>
    <col min="20" max="20" width="15.7109375" style="4" customWidth="1"/>
    <col min="21" max="21" width="15.7109375" style="18" customWidth="1"/>
    <col min="22" max="22" width="10.5703125" style="4" customWidth="1"/>
    <col min="23" max="23" width="14.5703125" style="4" customWidth="1"/>
    <col min="24" max="24" width="17.42578125" style="4" customWidth="1"/>
    <col min="25" max="25" width="13" style="4" customWidth="1"/>
    <col min="26" max="28" width="21.7109375" style="4" customWidth="1"/>
    <col min="29" max="29" width="26" style="4" customWidth="1"/>
    <col min="30" max="30" width="11" style="4" customWidth="1"/>
    <col min="31" max="32" width="10.85546875" style="4" customWidth="1"/>
    <col min="33" max="34" width="14.28515625" style="4" customWidth="1"/>
    <col min="35" max="107" width="8.85546875" style="4" hidden="1" customWidth="1"/>
    <col min="108" max="108" width="8.85546875" style="18" hidden="1" customWidth="1"/>
    <col min="109" max="136" width="8.85546875" style="4" hidden="1" customWidth="1"/>
    <col min="137" max="137" width="16" style="4" hidden="1" customWidth="1"/>
    <col min="138" max="165" width="8.85546875" style="4" hidden="1" customWidth="1"/>
    <col min="166" max="166" width="10.140625" style="4" hidden="1" customWidth="1"/>
    <col min="167" max="167" width="10.7109375" style="4" hidden="1" customWidth="1"/>
    <col min="168" max="170" width="8.85546875" style="4" hidden="1" customWidth="1"/>
    <col min="171" max="171" width="16.140625" style="4" hidden="1" customWidth="1"/>
    <col min="172" max="172" width="17.85546875" style="4" hidden="1" customWidth="1"/>
    <col min="173" max="175" width="8.85546875" style="4" hidden="1" customWidth="1"/>
    <col min="176" max="176" width="8.85546875" style="4" customWidth="1"/>
    <col min="177" max="16384" width="8.85546875" style="4"/>
  </cols>
  <sheetData>
    <row r="1" spans="1:175" ht="15.75" thickBot="1" x14ac:dyDescent="0.3"/>
    <row r="2" spans="1:175" x14ac:dyDescent="0.25">
      <c r="A2" s="5" t="str">
        <f>IF(Select_Lang="English","Compliance:","Conformité :")</f>
        <v>Compliance:</v>
      </c>
      <c r="B2" s="6" t="str">
        <f>IF(OR(SUM(I6:I1048576)&lt;&gt;Gross_Floor_Area,IF(FQ5=1,TRUE,FALSE) ),Tables!BP6,IF(OR(B3&lt;B4,B3=B4),Tables!BP4,Tables!BP5))</f>
        <v>Incomplete data entry</v>
      </c>
      <c r="C2" s="7"/>
    </row>
    <row r="3" spans="1:175" x14ac:dyDescent="0.25">
      <c r="A3" s="8" t="s">
        <v>266</v>
      </c>
      <c r="B3" s="104" t="str">
        <f>CONCATENATE(TEXT(SUM(AG6:AG1048576)/1000,"####")," kWh/a")</f>
        <v>13483 kWh/a</v>
      </c>
      <c r="C3" s="9"/>
    </row>
    <row r="4" spans="1:175" ht="15.75" thickBot="1" x14ac:dyDescent="0.3">
      <c r="A4" s="10" t="s">
        <v>267</v>
      </c>
      <c r="B4" s="105" t="str">
        <f>CONCATENATE(TEXT(SUM(AH6:AH1048576)/1000,"####")," kWh/a")</f>
        <v>18006 kWh/a</v>
      </c>
      <c r="C4" s="11"/>
      <c r="AI4" s="4" t="s">
        <v>270</v>
      </c>
      <c r="BR4" s="4" t="s">
        <v>81</v>
      </c>
      <c r="CF4" s="4" t="s">
        <v>82</v>
      </c>
      <c r="DF4" s="4" t="s">
        <v>271</v>
      </c>
      <c r="EH4" s="4" t="s">
        <v>81</v>
      </c>
      <c r="EU4" s="4" t="s">
        <v>82</v>
      </c>
    </row>
    <row r="5" spans="1:175" ht="18.75" thickBot="1" x14ac:dyDescent="0.4">
      <c r="A5" s="12" t="str">
        <f>IF(Select_Lang="English",Tables!C63,Tables!D63)</f>
        <v>Warning:</v>
      </c>
      <c r="B5" s="88" t="str">
        <f>IF(Select_Lang="English", CONCATENATE("Sum of space areas of ", TEXT(SUM(I6:I1048576),"#"), " does not match the Total gross floor area entered on the Introduction tab. ", ),CONCATENATE("La somme des aires de ", TEXT(SUM(I6:I1048576),"#"), " ne correspond pas avec la valeur de l’aire totale brute de l’onglet d'Introduction. ",))</f>
        <v xml:space="preserve">Sum of space areas of 505 does not match the Total gross floor area entered on the Introduction tab. </v>
      </c>
      <c r="C5" s="89"/>
      <c r="G5" s="90" t="b">
        <f>IF(SUM(I6:I1048576)&lt;&gt;Gross_Floor_Area,TRUE,FALSE)</f>
        <v>1</v>
      </c>
      <c r="K5" s="91" t="str">
        <f>IF(Select_Lang="English",Tables!C63,Tables!D63)</f>
        <v>Warning:</v>
      </c>
      <c r="L5" s="90" t="str">
        <f>IF(Select_Lang="English",Tables!C64,Tables!C65)</f>
        <v>The gross interior floor area of one or more of the spaces with toplighting as the primary type of daylight supply does not match the product of the length and width of the space.</v>
      </c>
      <c r="AE5" s="94"/>
      <c r="AF5" s="94"/>
      <c r="AI5" s="4" t="s">
        <v>14</v>
      </c>
      <c r="AJ5" s="4" t="s">
        <v>1</v>
      </c>
      <c r="AK5" s="4" t="s">
        <v>0</v>
      </c>
      <c r="AL5" s="4" t="s">
        <v>16</v>
      </c>
      <c r="AM5" s="4" t="s">
        <v>4</v>
      </c>
      <c r="AN5" s="4" t="s">
        <v>6</v>
      </c>
      <c r="AO5" s="4" t="s">
        <v>8</v>
      </c>
      <c r="AP5" s="4" t="s">
        <v>1</v>
      </c>
      <c r="AQ5" s="4" t="s">
        <v>10</v>
      </c>
      <c r="AR5" s="4" t="s">
        <v>11</v>
      </c>
      <c r="AS5" s="4" t="s">
        <v>4</v>
      </c>
      <c r="AT5" s="4" t="s">
        <v>18</v>
      </c>
      <c r="AU5" s="4" t="s">
        <v>19</v>
      </c>
      <c r="AV5" s="4" t="s">
        <v>20</v>
      </c>
      <c r="AW5" s="4" t="s">
        <v>25</v>
      </c>
      <c r="AX5" s="4" t="s">
        <v>6</v>
      </c>
      <c r="AY5" s="4" t="s">
        <v>18</v>
      </c>
      <c r="AZ5" s="4" t="s">
        <v>20</v>
      </c>
      <c r="BA5" s="4" t="s">
        <v>25</v>
      </c>
      <c r="BB5" s="4" t="s">
        <v>8</v>
      </c>
      <c r="BC5" s="4" t="s">
        <v>26</v>
      </c>
      <c r="BD5" s="4" t="s">
        <v>20</v>
      </c>
      <c r="BE5" s="4" t="s">
        <v>25</v>
      </c>
      <c r="BF5" s="4" t="s">
        <v>55</v>
      </c>
      <c r="BG5" s="4" t="s">
        <v>56</v>
      </c>
      <c r="BH5" s="4" t="s">
        <v>57</v>
      </c>
      <c r="BI5" s="4" t="s">
        <v>58</v>
      </c>
      <c r="BJ5" s="4" t="s">
        <v>28</v>
      </c>
      <c r="BK5" s="4" t="s">
        <v>59</v>
      </c>
      <c r="BL5" s="4" t="s">
        <v>60</v>
      </c>
      <c r="BM5" s="4" t="s">
        <v>19</v>
      </c>
      <c r="BN5" s="4" t="s">
        <v>77</v>
      </c>
      <c r="BO5" s="4" t="s">
        <v>33</v>
      </c>
      <c r="BP5" s="4" t="s">
        <v>34</v>
      </c>
      <c r="BQ5" s="4" t="s">
        <v>35</v>
      </c>
      <c r="BR5" s="4" t="s">
        <v>83</v>
      </c>
      <c r="BS5" s="4" t="s">
        <v>85</v>
      </c>
      <c r="BT5" s="4" t="s">
        <v>240</v>
      </c>
      <c r="BU5" s="4" t="s">
        <v>33</v>
      </c>
      <c r="BV5" s="4" t="s">
        <v>52</v>
      </c>
      <c r="BW5" s="4" t="s">
        <v>53</v>
      </c>
      <c r="BX5" s="4" t="s">
        <v>54</v>
      </c>
      <c r="BY5" s="4" t="s">
        <v>52</v>
      </c>
      <c r="BZ5" s="4" t="s">
        <v>66</v>
      </c>
      <c r="CA5" s="4" t="s">
        <v>67</v>
      </c>
      <c r="CB5" s="4" t="s">
        <v>68</v>
      </c>
      <c r="CC5" s="4" t="s">
        <v>69</v>
      </c>
      <c r="CD5" s="4" t="s">
        <v>54</v>
      </c>
      <c r="CE5" s="13" t="s">
        <v>87</v>
      </c>
      <c r="CF5" s="4" t="s">
        <v>85</v>
      </c>
      <c r="CG5" s="4" t="s">
        <v>245</v>
      </c>
      <c r="CH5" s="4" t="s">
        <v>33</v>
      </c>
      <c r="CI5" s="4" t="s">
        <v>92</v>
      </c>
      <c r="CJ5" s="4" t="s">
        <v>66</v>
      </c>
      <c r="CK5" s="4" t="s">
        <v>89</v>
      </c>
      <c r="CL5" s="4" t="s">
        <v>90</v>
      </c>
      <c r="CM5" s="4" t="s">
        <v>91</v>
      </c>
      <c r="CN5" s="4" t="s">
        <v>103</v>
      </c>
      <c r="CO5" s="4" t="s">
        <v>94</v>
      </c>
      <c r="CP5" s="13" t="s">
        <v>104</v>
      </c>
      <c r="CQ5" s="4" t="s">
        <v>108</v>
      </c>
      <c r="CR5" s="4" t="s">
        <v>109</v>
      </c>
      <c r="CS5" s="4" t="s">
        <v>110</v>
      </c>
      <c r="CT5" s="4" t="s">
        <v>111</v>
      </c>
      <c r="CU5" s="4" t="s">
        <v>124</v>
      </c>
      <c r="CV5" s="4" t="s">
        <v>254</v>
      </c>
      <c r="CW5" s="4" t="s">
        <v>256</v>
      </c>
      <c r="CX5" s="4" t="s">
        <v>231</v>
      </c>
      <c r="CY5" s="4" t="s">
        <v>237</v>
      </c>
      <c r="CZ5" s="4" t="s">
        <v>20</v>
      </c>
      <c r="DA5" s="4" t="s">
        <v>121</v>
      </c>
      <c r="DB5" s="4" t="s">
        <v>122</v>
      </c>
      <c r="DC5" s="4" t="s">
        <v>25</v>
      </c>
      <c r="DD5" s="18" t="s">
        <v>125</v>
      </c>
      <c r="DF5" s="4" t="s">
        <v>233</v>
      </c>
      <c r="DG5" s="4" t="s">
        <v>234</v>
      </c>
      <c r="DH5" s="4" t="s">
        <v>0</v>
      </c>
      <c r="DI5" s="4" t="s">
        <v>16</v>
      </c>
      <c r="DJ5" s="4" t="s">
        <v>4</v>
      </c>
      <c r="DK5" s="4" t="s">
        <v>6</v>
      </c>
      <c r="DL5" s="4" t="s">
        <v>8</v>
      </c>
      <c r="DM5" s="4" t="s">
        <v>11</v>
      </c>
      <c r="DN5" s="4" t="s">
        <v>4</v>
      </c>
      <c r="DO5" s="4" t="s">
        <v>18</v>
      </c>
      <c r="DP5" s="4" t="s">
        <v>19</v>
      </c>
      <c r="DQ5" s="4" t="s">
        <v>20</v>
      </c>
      <c r="DR5" s="4" t="s">
        <v>25</v>
      </c>
      <c r="DS5" s="4" t="s">
        <v>6</v>
      </c>
      <c r="DT5" s="4" t="s">
        <v>18</v>
      </c>
      <c r="DU5" s="4" t="s">
        <v>20</v>
      </c>
      <c r="DV5" s="4" t="s">
        <v>25</v>
      </c>
      <c r="DW5" s="4" t="s">
        <v>8</v>
      </c>
      <c r="DX5" s="4" t="s">
        <v>26</v>
      </c>
      <c r="DY5" s="4" t="s">
        <v>20</v>
      </c>
      <c r="DZ5" s="4" t="s">
        <v>25</v>
      </c>
      <c r="EA5" s="4" t="s">
        <v>55</v>
      </c>
      <c r="EB5" s="4" t="s">
        <v>56</v>
      </c>
      <c r="EC5" s="4" t="s">
        <v>19</v>
      </c>
      <c r="ED5" s="4" t="s">
        <v>77</v>
      </c>
      <c r="EE5" s="4" t="s">
        <v>33</v>
      </c>
      <c r="EF5" s="65" t="s">
        <v>34</v>
      </c>
      <c r="EG5" s="60" t="s">
        <v>35</v>
      </c>
      <c r="EH5" s="4" t="s">
        <v>83</v>
      </c>
      <c r="EI5" s="4" t="s">
        <v>85</v>
      </c>
      <c r="EJ5" s="4" t="s">
        <v>33</v>
      </c>
      <c r="EK5" s="4" t="s">
        <v>52</v>
      </c>
      <c r="EL5" s="4" t="s">
        <v>53</v>
      </c>
      <c r="EM5" s="4" t="s">
        <v>54</v>
      </c>
      <c r="EN5" s="4" t="s">
        <v>52</v>
      </c>
      <c r="EO5" s="4" t="s">
        <v>66</v>
      </c>
      <c r="EP5" s="4" t="s">
        <v>67</v>
      </c>
      <c r="EQ5" s="4" t="s">
        <v>68</v>
      </c>
      <c r="ER5" s="4" t="s">
        <v>69</v>
      </c>
      <c r="ES5" s="4" t="s">
        <v>54</v>
      </c>
      <c r="ET5" s="13" t="s">
        <v>87</v>
      </c>
      <c r="EU5" s="4" t="s">
        <v>85</v>
      </c>
      <c r="EV5" s="4" t="s">
        <v>33</v>
      </c>
      <c r="EW5" s="4" t="s">
        <v>92</v>
      </c>
      <c r="EX5" s="4" t="s">
        <v>66</v>
      </c>
      <c r="EY5" s="4" t="s">
        <v>89</v>
      </c>
      <c r="EZ5" s="4" t="s">
        <v>90</v>
      </c>
      <c r="FA5" s="4" t="s">
        <v>91</v>
      </c>
      <c r="FB5" s="4" t="s">
        <v>103</v>
      </c>
      <c r="FC5" s="4" t="s">
        <v>94</v>
      </c>
      <c r="FD5" s="13" t="s">
        <v>104</v>
      </c>
      <c r="FE5" s="4" t="s">
        <v>108</v>
      </c>
      <c r="FF5" s="4" t="s">
        <v>109</v>
      </c>
      <c r="FG5" s="4" t="s">
        <v>110</v>
      </c>
      <c r="FH5" s="4" t="s">
        <v>111</v>
      </c>
      <c r="FI5" s="4" t="s">
        <v>124</v>
      </c>
      <c r="FJ5" s="60" t="s">
        <v>231</v>
      </c>
      <c r="FK5" s="63" t="s">
        <v>595</v>
      </c>
      <c r="FL5" s="4" t="s">
        <v>121</v>
      </c>
      <c r="FM5" s="4" t="s">
        <v>122</v>
      </c>
      <c r="FN5" s="4" t="s">
        <v>25</v>
      </c>
      <c r="FQ5" s="4">
        <f>IF(SUM(FQ6:FQ109)&gt;0, 1,0)</f>
        <v>0</v>
      </c>
    </row>
    <row r="6" spans="1:175" s="14" customFormat="1" ht="60" customHeight="1" thickBot="1" x14ac:dyDescent="0.3">
      <c r="A6" s="27" t="str">
        <f>INDEX(Menu_Titles,2,IF(Select_Lang="English",2,1))</f>
        <v>Space #</v>
      </c>
      <c r="B6" s="28" t="str">
        <f>INDEX(Menu_Titles,3,IF(Select_Lang="English",2,1))</f>
        <v>Space Name</v>
      </c>
      <c r="C6" s="28" t="str">
        <f>INDEX(Menu_Titles,4,IF(Select_Lang="English",2,1))</f>
        <v>Space Function</v>
      </c>
      <c r="D6" s="28" t="str">
        <f>INDEX(Menu_Titles,5,IF(Select_Lang="English",2,1))</f>
        <v>Enclosed Space</v>
      </c>
      <c r="E6" s="62" t="str">
        <f>INDEX(Menu_Titles,6,IF(Select_Lang="English",2,1))</f>
        <v>Enclosed Space Function</v>
      </c>
      <c r="F6" s="68" t="str">
        <f>INDEX(Menu_Titles,31,IF(Select_Lang="English",2,1))</f>
        <v>Personal Control</v>
      </c>
      <c r="G6" s="28" t="str">
        <f>INDEX(Menu_Titles,7,IF(Select_Lang="English",2,1))</f>
        <v>Atrium Height - m</v>
      </c>
      <c r="H6" s="73" t="str">
        <f>INDEX(Menu_Titles,8,IF(Select_Lang="English",2,1))</f>
        <v>Occupancy-Sensing Mechanism Type</v>
      </c>
      <c r="I6" s="28" t="str">
        <f>INDEX(Menu_Titles,9,IF(Select_Lang="English",2,1))</f>
        <v>Gross Interior Floor Area - m2</v>
      </c>
      <c r="J6" s="28" t="str">
        <f>INDEX(Menu_Titles,10,IF(Select_Lang="English",2,1))</f>
        <v>Daylighted Area - m2</v>
      </c>
      <c r="K6" s="28" t="str">
        <f>INDEX(Menu_Titles,11,IF(Select_Lang="English",2,1))</f>
        <v>Lighting Power, W</v>
      </c>
      <c r="L6" s="28" t="str">
        <f>INDEX(Menu_Titles,12,IF(Select_Lang="English",2,1))</f>
        <v>Space Operation Start Time</v>
      </c>
      <c r="M6" s="28" t="str">
        <f>INDEX(Menu_Titles,13,IF(Select_Lang="English",2,1))</f>
        <v>Space Operation End time</v>
      </c>
      <c r="N6" s="28" t="str">
        <f>INDEX(Menu_Titles,14,IF(Select_Lang="English",2,1))</f>
        <v>Primary Type of Daylight Supply</v>
      </c>
      <c r="O6" s="28" t="str">
        <f>INDEX(Menu_Titles,15,IF(Select_Lang="English",2,1))</f>
        <v>Daylight System Control</v>
      </c>
      <c r="P6" s="28" t="str">
        <f>INDEX(Menu_Titles,16,IF(Select_Lang="English",2,1))</f>
        <v>Control Factor for Daylighting</v>
      </c>
      <c r="Q6" s="28" t="str">
        <f>INDEX(Menu_Titles,17,IF(Select_Lang="English",2,1))</f>
        <v>Orientation of Fenestration Providing Sidelighting</v>
      </c>
      <c r="R6" s="28" t="str">
        <f>INDEX(Menu_Titles,18,IF(Select_Lang="English",2,1))</f>
        <v>Design Illuminance - lx</v>
      </c>
      <c r="S6" s="28" t="str">
        <f>INDEX(Menu_Titles,19,IF(Select_Lang="English",2,1))</f>
        <v>Automatic Daylight Controls in the Reference Space.</v>
      </c>
      <c r="T6" s="28" t="str">
        <f>INDEX(Menu_Titles,20,IF(Select_Lang="English",2,1))</f>
        <v>Luminous Transmittance of the Glazing</v>
      </c>
      <c r="U6" s="74" t="str">
        <f>INDEX(Menu_Titles,32,IF(Select_Lang="English",2,1))</f>
        <v>Sidelighting Effective Aperture (%)</v>
      </c>
      <c r="V6" s="74" t="str">
        <f>INDEX(Menu_Titles,21,IF(Select_Lang="English",2,1))</f>
        <v>Framing Factor</v>
      </c>
      <c r="W6" s="74" t="str">
        <f>INDEX(Menu_Titles,22,IF(Select_Lang="English",2,1))</f>
        <v>Dirt Accumulation Factor</v>
      </c>
      <c r="X6" s="74" t="str">
        <f>INDEX(Menu_Titles,23,IF(Select_Lang="English",2,1))</f>
        <v>Non-Perpendicular Light Incidence Factor</v>
      </c>
      <c r="Y6" s="74" t="str">
        <f>INDEX(Menu_Titles,24,IF(Select_Lang="English",2,1))</f>
        <v>Angle to Top Horizontal Obstruction</v>
      </c>
      <c r="Z6" s="73" t="str">
        <f>INDEX(Menu_Titles,34,IF(Select_Lang="English",2,1))</f>
        <v>Skylight Effective Aperture (%)</v>
      </c>
      <c r="AA6" s="84" t="str">
        <f>INDEX(Menu_Titles,35,IF(Select_Lang="English",2,1))</f>
        <v>Is the building located above the 55N latitude?</v>
      </c>
      <c r="AB6" s="84" t="str">
        <f>INDEX(Menu_Titles,36,IF(Select_Lang="English",2,1))</f>
        <v>Is the exemption described in Clause 4.2.2.4.(2)(a) applicable?</v>
      </c>
      <c r="AC6" s="28" t="str">
        <f>INDEX(Menu_Titles,25,IF(Select_Lang="English",2,1))</f>
        <v>Total Area of Rough Opening for Toplighting - m2</v>
      </c>
      <c r="AD6" s="28" t="str">
        <f>INDEX(Menu_Titles,26,IF(Select_Lang="English",2,1))</f>
        <v>Height of the Space - m</v>
      </c>
      <c r="AE6" s="28" t="str">
        <f>INDEX(Menu_Titles,27,IF(Select_Lang="English",2,1))</f>
        <v>Length of the Space - m</v>
      </c>
      <c r="AF6" s="28" t="str">
        <f>INDEX(Menu_Titles,28,IF(Select_Lang="English",2,1))</f>
        <v>Width of the Space - m</v>
      </c>
      <c r="AG6" s="28" t="str">
        <f>INDEX(Menu_Titles,29,IF(Select_Lang="English",2,1))</f>
        <v>IILE</v>
      </c>
      <c r="AH6" s="39" t="str">
        <f>INDEX(Menu_Titles,30,IF(Select_Lang="English",2,1))</f>
        <v>ILEA</v>
      </c>
      <c r="AI6" s="14" t="s">
        <v>15</v>
      </c>
      <c r="AJ6" s="14" t="s">
        <v>582</v>
      </c>
      <c r="AK6" s="14" t="s">
        <v>2</v>
      </c>
      <c r="AL6" s="14" t="s">
        <v>17</v>
      </c>
      <c r="AM6" s="14" t="s">
        <v>5</v>
      </c>
      <c r="AN6" s="14" t="s">
        <v>7</v>
      </c>
      <c r="AO6" s="14" t="s">
        <v>9</v>
      </c>
      <c r="AP6" s="14" t="s">
        <v>582</v>
      </c>
      <c r="AQ6" s="14" t="s">
        <v>12</v>
      </c>
      <c r="AR6" s="14" t="s">
        <v>13</v>
      </c>
      <c r="AS6" s="14" t="s">
        <v>5</v>
      </c>
      <c r="AT6" s="14" t="s">
        <v>21</v>
      </c>
      <c r="AU6" s="14" t="s">
        <v>22</v>
      </c>
      <c r="AV6" s="14" t="s">
        <v>23</v>
      </c>
      <c r="AW6" s="14" t="s">
        <v>24</v>
      </c>
      <c r="AX6" s="14" t="s">
        <v>7</v>
      </c>
      <c r="AY6" s="14" t="s">
        <v>21</v>
      </c>
      <c r="AZ6" s="14" t="s">
        <v>23</v>
      </c>
      <c r="BA6" s="14" t="s">
        <v>24</v>
      </c>
      <c r="BB6" s="14" t="s">
        <v>9</v>
      </c>
      <c r="BC6" s="14" t="s">
        <v>27</v>
      </c>
      <c r="BD6" s="14" t="s">
        <v>23</v>
      </c>
      <c r="BE6" s="14" t="s">
        <v>24</v>
      </c>
      <c r="BF6" s="14" t="s">
        <v>47</v>
      </c>
      <c r="BG6" s="14" t="s">
        <v>48</v>
      </c>
      <c r="BH6" s="14" t="s">
        <v>49</v>
      </c>
      <c r="BI6" s="14" t="s">
        <v>50</v>
      </c>
      <c r="BJ6" s="14" t="s">
        <v>29</v>
      </c>
      <c r="BK6" s="14" t="s">
        <v>61</v>
      </c>
      <c r="BL6" s="14" t="s">
        <v>62</v>
      </c>
      <c r="BM6" s="14" t="s">
        <v>22</v>
      </c>
      <c r="BN6" s="14" t="s">
        <v>78</v>
      </c>
      <c r="BO6" s="14" t="s">
        <v>36</v>
      </c>
      <c r="BP6" s="14" t="s">
        <v>37</v>
      </c>
      <c r="BQ6" s="14" t="s">
        <v>38</v>
      </c>
      <c r="BR6" s="14" t="s">
        <v>84</v>
      </c>
      <c r="BS6" s="14" t="s">
        <v>86</v>
      </c>
      <c r="BT6" s="14" t="s">
        <v>241</v>
      </c>
      <c r="BU6" s="14" t="s">
        <v>36</v>
      </c>
      <c r="BV6" s="14" t="s">
        <v>63</v>
      </c>
      <c r="BW6" s="14" t="s">
        <v>64</v>
      </c>
      <c r="BX6" s="14" t="s">
        <v>65</v>
      </c>
      <c r="BY6" s="14" t="s">
        <v>63</v>
      </c>
      <c r="BZ6" s="14" t="s">
        <v>70</v>
      </c>
      <c r="CA6" s="14" t="s">
        <v>102</v>
      </c>
      <c r="CB6" s="14" t="s">
        <v>101</v>
      </c>
      <c r="CC6" s="14" t="s">
        <v>100</v>
      </c>
      <c r="CD6" s="14" t="s">
        <v>65</v>
      </c>
      <c r="CE6" s="14" t="s">
        <v>88</v>
      </c>
      <c r="CF6" s="14" t="s">
        <v>86</v>
      </c>
      <c r="CG6" s="14" t="s">
        <v>241</v>
      </c>
      <c r="CH6" s="14" t="s">
        <v>36</v>
      </c>
      <c r="CI6" s="14" t="s">
        <v>93</v>
      </c>
      <c r="CJ6" s="14" t="s">
        <v>97</v>
      </c>
      <c r="CK6" s="14" t="s">
        <v>98</v>
      </c>
      <c r="CL6" s="14" t="s">
        <v>99</v>
      </c>
      <c r="CM6" s="14" t="s">
        <v>100</v>
      </c>
      <c r="CN6" s="14" t="s">
        <v>96</v>
      </c>
      <c r="CO6" s="14" t="s">
        <v>95</v>
      </c>
      <c r="CP6" s="14" t="s">
        <v>105</v>
      </c>
      <c r="CQ6" s="14" t="s">
        <v>107</v>
      </c>
      <c r="CR6" s="14" t="s">
        <v>112</v>
      </c>
      <c r="CS6" s="14" t="s">
        <v>113</v>
      </c>
      <c r="CT6" s="14" t="s">
        <v>114</v>
      </c>
      <c r="CU6" s="14" t="s">
        <v>123</v>
      </c>
      <c r="CV6" s="14" t="s">
        <v>255</v>
      </c>
      <c r="CW6" s="14" t="s">
        <v>257</v>
      </c>
      <c r="CX6" s="14" t="s">
        <v>232</v>
      </c>
      <c r="CY6" s="14" t="s">
        <v>238</v>
      </c>
      <c r="CZ6" s="14" t="s">
        <v>23</v>
      </c>
      <c r="DC6" s="14" t="s">
        <v>24</v>
      </c>
      <c r="DD6" s="69"/>
      <c r="DF6" s="14" t="s">
        <v>15</v>
      </c>
      <c r="DG6" s="14" t="s">
        <v>3</v>
      </c>
      <c r="DH6" s="14" t="s">
        <v>2</v>
      </c>
      <c r="DI6" s="14" t="s">
        <v>17</v>
      </c>
      <c r="DJ6" s="14" t="s">
        <v>5</v>
      </c>
      <c r="DK6" s="14" t="s">
        <v>7</v>
      </c>
      <c r="DL6" s="14" t="s">
        <v>9</v>
      </c>
      <c r="DM6" s="14" t="s">
        <v>13</v>
      </c>
      <c r="DN6" s="14" t="s">
        <v>5</v>
      </c>
      <c r="DO6" s="14" t="s">
        <v>21</v>
      </c>
      <c r="DP6" s="14" t="s">
        <v>22</v>
      </c>
      <c r="DQ6" s="14" t="s">
        <v>23</v>
      </c>
      <c r="DR6" s="14" t="s">
        <v>24</v>
      </c>
      <c r="DS6" s="14" t="s">
        <v>7</v>
      </c>
      <c r="DT6" s="14" t="s">
        <v>21</v>
      </c>
      <c r="DU6" s="14" t="s">
        <v>23</v>
      </c>
      <c r="DV6" s="14" t="s">
        <v>24</v>
      </c>
      <c r="DW6" s="14" t="s">
        <v>9</v>
      </c>
      <c r="DX6" s="14" t="s">
        <v>27</v>
      </c>
      <c r="DY6" s="14" t="s">
        <v>23</v>
      </c>
      <c r="DZ6" s="14" t="s">
        <v>24</v>
      </c>
      <c r="EA6" s="14" t="s">
        <v>47</v>
      </c>
      <c r="EB6" s="14" t="s">
        <v>48</v>
      </c>
      <c r="EC6" s="14" t="s">
        <v>22</v>
      </c>
      <c r="ED6" s="14" t="s">
        <v>78</v>
      </c>
      <c r="EE6" s="14" t="s">
        <v>36</v>
      </c>
      <c r="EF6" s="66" t="s">
        <v>37</v>
      </c>
      <c r="EG6" s="61" t="s">
        <v>38</v>
      </c>
      <c r="EH6" s="14" t="s">
        <v>84</v>
      </c>
      <c r="EI6" s="14" t="s">
        <v>86</v>
      </c>
      <c r="EJ6" s="14" t="s">
        <v>36</v>
      </c>
      <c r="EK6" s="14" t="s">
        <v>63</v>
      </c>
      <c r="EL6" s="14" t="s">
        <v>64</v>
      </c>
      <c r="EM6" s="14" t="s">
        <v>65</v>
      </c>
      <c r="EN6" s="14" t="s">
        <v>63</v>
      </c>
      <c r="EO6" s="14" t="s">
        <v>70</v>
      </c>
      <c r="EP6" s="14" t="s">
        <v>102</v>
      </c>
      <c r="EQ6" s="14" t="s">
        <v>101</v>
      </c>
      <c r="ER6" s="14" t="s">
        <v>100</v>
      </c>
      <c r="ES6" s="14" t="s">
        <v>65</v>
      </c>
      <c r="ET6" s="14" t="s">
        <v>88</v>
      </c>
      <c r="EU6" s="14" t="s">
        <v>86</v>
      </c>
      <c r="EV6" s="14" t="s">
        <v>36</v>
      </c>
      <c r="EW6" s="14" t="s">
        <v>93</v>
      </c>
      <c r="EX6" s="14" t="s">
        <v>97</v>
      </c>
      <c r="EY6" s="14" t="s">
        <v>98</v>
      </c>
      <c r="EZ6" s="14" t="s">
        <v>99</v>
      </c>
      <c r="FA6" s="14" t="s">
        <v>100</v>
      </c>
      <c r="FB6" s="14" t="s">
        <v>96</v>
      </c>
      <c r="FC6" s="14" t="s">
        <v>95</v>
      </c>
      <c r="FD6" s="14" t="s">
        <v>105</v>
      </c>
      <c r="FE6" s="14" t="s">
        <v>107</v>
      </c>
      <c r="FF6" s="14" t="s">
        <v>112</v>
      </c>
      <c r="FG6" s="14" t="s">
        <v>113</v>
      </c>
      <c r="FH6" s="14" t="s">
        <v>114</v>
      </c>
      <c r="FI6" s="14" t="s">
        <v>123</v>
      </c>
      <c r="FJ6" s="61" t="s">
        <v>232</v>
      </c>
      <c r="FK6" s="64" t="s">
        <v>23</v>
      </c>
      <c r="FN6" s="14" t="s">
        <v>24</v>
      </c>
      <c r="FO6" s="61" t="s">
        <v>649</v>
      </c>
      <c r="FP6" s="61" t="s">
        <v>650</v>
      </c>
    </row>
    <row r="7" spans="1:175" ht="30" x14ac:dyDescent="0.25">
      <c r="A7" s="21">
        <f>ROW()-6</f>
        <v>1</v>
      </c>
      <c r="B7" s="22" t="s">
        <v>702</v>
      </c>
      <c r="C7" s="23" t="s">
        <v>136</v>
      </c>
      <c r="D7" s="24" t="s">
        <v>242</v>
      </c>
      <c r="E7" s="23" t="s">
        <v>249</v>
      </c>
      <c r="F7" s="37" t="s">
        <v>242</v>
      </c>
      <c r="G7" s="37">
        <v>6.0959998049999999</v>
      </c>
      <c r="H7" s="37" t="s">
        <v>40</v>
      </c>
      <c r="I7" s="37">
        <v>505</v>
      </c>
      <c r="J7" s="37">
        <v>49</v>
      </c>
      <c r="K7" s="38">
        <v>5000</v>
      </c>
      <c r="L7" s="25">
        <v>0.25</v>
      </c>
      <c r="M7" s="25">
        <v>0.875</v>
      </c>
      <c r="N7" s="26" t="s">
        <v>82</v>
      </c>
      <c r="O7" s="26" t="s">
        <v>39</v>
      </c>
      <c r="P7" s="26" t="s">
        <v>593</v>
      </c>
      <c r="Q7" s="26" t="s">
        <v>73</v>
      </c>
      <c r="R7" s="38">
        <v>1000</v>
      </c>
      <c r="S7" s="85" t="str">
        <f>IF(OR(AND(OR(N7="Sidelighting",N7="Latéral"),OR(FO7="No Control", FO7 ="Sans Commande")), AND(OR(N7="Toplighting",N7="Zénithal"),OR(FP7="No Control", FP7="Sans Commande"))), IF(Select_Lang="English", "No", "Non"), IF(Select_Lang="English", "Yes", "Oui"))</f>
        <v>No</v>
      </c>
      <c r="T7" s="36">
        <v>0.85</v>
      </c>
      <c r="U7" s="86">
        <v>0.15</v>
      </c>
      <c r="V7" s="36">
        <v>0.7</v>
      </c>
      <c r="W7" s="36">
        <v>0.8</v>
      </c>
      <c r="X7" s="77">
        <v>0.85</v>
      </c>
      <c r="Y7" s="38">
        <v>50</v>
      </c>
      <c r="Z7" s="87">
        <v>5.0000000000000001E-3</v>
      </c>
      <c r="AA7" s="38" t="s">
        <v>243</v>
      </c>
      <c r="AB7" s="38" t="s">
        <v>243</v>
      </c>
      <c r="AC7" s="37">
        <v>14.000000000000002</v>
      </c>
      <c r="AD7" s="37">
        <v>15</v>
      </c>
      <c r="AE7" s="93">
        <v>25</v>
      </c>
      <c r="AF7" s="93">
        <v>20</v>
      </c>
      <c r="AG7" s="103">
        <f>AI7</f>
        <v>13483125</v>
      </c>
      <c r="AH7" s="103">
        <f>DF7</f>
        <v>18005964.375</v>
      </c>
      <c r="AI7" s="15">
        <f>AJ7*((AK7)*(AM7+AO7)+AL7*(AN7+AO7))</f>
        <v>13483125</v>
      </c>
      <c r="AJ7" s="4">
        <f>AP7</f>
        <v>9.9009900990099009</v>
      </c>
      <c r="AK7" s="4">
        <f>IF(BM7&gt;0,J7*Tables!$BT$10,0)</f>
        <v>49</v>
      </c>
      <c r="AL7" s="4">
        <f>I7*Tables!$BT$10-IF(BM7&gt;0,J7*Tables!$BT$10,0)</f>
        <v>456</v>
      </c>
      <c r="AM7" s="4">
        <f>AS7</f>
        <v>2142.1988999999999</v>
      </c>
      <c r="AN7" s="4">
        <f>AX7</f>
        <v>2142.1988999999999</v>
      </c>
      <c r="AO7" s="4">
        <f>BB7</f>
        <v>554.42610000000002</v>
      </c>
      <c r="AP7" s="4">
        <f>K7/(I7*Tables!$BT$10)</f>
        <v>9.9009900990099009</v>
      </c>
      <c r="AQ7" s="4">
        <f>K7</f>
        <v>5000</v>
      </c>
      <c r="AR7" s="4">
        <f>I7*Tables!$BT$10</f>
        <v>505</v>
      </c>
      <c r="AS7" s="4">
        <f>AT7*AU7*AV7*AW7</f>
        <v>2142.1988999999999</v>
      </c>
      <c r="AT7" s="4">
        <f>BF7</f>
        <v>2979</v>
      </c>
      <c r="AU7" s="4">
        <f>BM7</f>
        <v>1</v>
      </c>
      <c r="AV7" s="4">
        <f>CZ7</f>
        <v>0.79899999999999993</v>
      </c>
      <c r="AW7" s="4">
        <f>DC7</f>
        <v>0.9</v>
      </c>
      <c r="AX7" s="4">
        <f>AY7*AZ7*BA7</f>
        <v>2142.1988999999999</v>
      </c>
      <c r="AY7" s="4">
        <f>AT7</f>
        <v>2979</v>
      </c>
      <c r="AZ7" s="4">
        <f t="shared" ref="AZ7" si="0">AV7</f>
        <v>0.79899999999999993</v>
      </c>
      <c r="BA7" s="4">
        <f t="shared" ref="BA7" si="1">AW7</f>
        <v>0.9</v>
      </c>
      <c r="BB7" s="4">
        <f>BC7*BD7*BE7</f>
        <v>554.42610000000002</v>
      </c>
      <c r="BC7" s="4">
        <f>BG7</f>
        <v>771</v>
      </c>
      <c r="BD7" s="4">
        <f t="shared" ref="BD7" si="2">AV7</f>
        <v>0.79899999999999993</v>
      </c>
      <c r="BE7" s="4">
        <f t="shared" ref="BE7" si="3">AW7</f>
        <v>0.9</v>
      </c>
      <c r="BF7" s="4">
        <f t="shared" ref="BF7" si="4">BH7*d_operation/250</f>
        <v>2979</v>
      </c>
      <c r="BG7" s="4">
        <f t="shared" ref="BG7" si="5">BI7*d_operation/250</f>
        <v>771</v>
      </c>
      <c r="BH7" s="4">
        <f>INDEX(t_day,VALUE(L7)*24+1,IF(VALUE(M7)*24=0,24,VALUE(M7)*24))</f>
        <v>2979</v>
      </c>
      <c r="BI7" s="4">
        <f>INDEX(t_night,VALUE(L7)*24+1,IF(VALUE(M7)*24=0,24,VALUE(M7)*24))</f>
        <v>771</v>
      </c>
      <c r="BJ7" s="4">
        <f>d_operation</f>
        <v>250</v>
      </c>
      <c r="BK7" s="16">
        <f t="shared" ref="BK7" si="6">L7</f>
        <v>0.25</v>
      </c>
      <c r="BL7" s="16">
        <f t="shared" ref="BL7" si="7">M7</f>
        <v>0.875</v>
      </c>
      <c r="BM7" s="4">
        <f>IF(N7=Tables!$AQ$4,0,1-INDEX(C_DL_ctrl_value,MATCH(O7,C_DL_ctrl,0))*BO7*INDEX(C_EL_ctrl_value,MATCH(P7,C_EL_ctrl,0)))</f>
        <v>1</v>
      </c>
      <c r="BN7" s="4" t="str">
        <f>N7</f>
        <v>Toplighting</v>
      </c>
      <c r="BO7" s="4">
        <f>IF(N7=Tables!$AQ$5,BU7,CH7)</f>
        <v>0</v>
      </c>
      <c r="BP7" s="4" t="str">
        <f t="shared" ref="BP7" si="8">O7</f>
        <v>Manual</v>
      </c>
      <c r="BQ7" s="4" t="str">
        <f t="shared" ref="BQ7" si="9">P7</f>
        <v>No control</v>
      </c>
      <c r="BR7" s="4" t="str">
        <f t="shared" ref="BR7" si="10">Q7</f>
        <v>North</v>
      </c>
      <c r="BS7" s="4">
        <f>R7*Tables!$BT$12</f>
        <v>1000</v>
      </c>
      <c r="BT7" s="4" t="str">
        <f>S7</f>
        <v>No</v>
      </c>
      <c r="BU7" s="4">
        <f>BV7*BW7*BX7</f>
        <v>4.607851391689409E-2</v>
      </c>
      <c r="BV7" s="4">
        <f>BY7</f>
        <v>0.40459999999999996</v>
      </c>
      <c r="BW7" s="4">
        <f>IF((INDEX(Design_Illuminance,IF(AND(BS7&gt;=Tables!$AK$5,BS7&lt;=Tables!$AK$8),MATCH(BS7,Design_Illuminance,1)+1,IF(BS7&lt;Tables!$AK$5,1,4)),1)-INDEX(Design_Illuminance,IF(AND(BS7&gt;=Tables!$AK$5,BS7&lt;=Tables!$AK$8),MATCH(BS7,Design_Illuminance,1),IF(BS7&lt;Tables!$AK$5,1,4)),1))&lt;&gt;0,(BS7-INDEX(Design_Illuminance,IF(AND(BS7&gt;=Tables!$AK$5,BS7&lt;=Tables!$AK$8),MATCH(BS7,Design_Illuminance,1),IF(BS7&lt;Tables!$AK$5,1,4)),1))/(INDEX(Design_Illuminance,IF(AND(BS7&gt;=Tables!$AK$5,BS7&lt;=Tables!$AK$8),MATCH(BS7,Design_Illuminance,1)+1,IF(BS7&lt;Tables!$AK$5,1,4)),1)-INDEX(Design_Illuminance,IF(AND(BS7&gt;=Tables!$AK$5,BS7&lt;=Tables!$AK$8),MATCH(BS7,Design_Illuminance,1),IF(BS7&lt;Tables!$AK$5,1,4)),1))*(INDEX(Raw_Daylight_Supply,IF(AND(BS7&gt;=Tables!$AK$5,BS7&lt;=Tables!$AK$8),MATCH(BS7,Design_Illuminance,1)+1,IF(BS7&lt;Tables!$AK$5,1,4)),MATCH(Q7,Orientation,0))-INDEX(Raw_Daylight_Supply,IF(AND(BS7&gt;=Tables!$AK$5,BS7&lt;=Tables!$AK$8),MATCH(BS7,Design_Illuminance,1),IF(BS7&lt;Tables!$AK$5,1,4)),MATCH(Q7,Orientation,0)))+INDEX(Raw_Daylight_Supply,IF(AND(BS7&gt;=Tables!$AK$5,BS7&lt;=Tables!$AK$8),MATCH(BS7,Design_Illuminance,1),IF(BS7&lt;Tables!$AK$5,1,4)),MATCH(Q7,Orientation,0)),INDEX(Raw_Daylight_Supply,IF(AND(BS7&gt;=Tables!$AK$5,BS7&lt;=Tables!$AK$8),MATCH(BS7,Design_Illuminance,1),IF(BS7&lt;Tables!$AK$5,1,4)),MATCH(Q7,Orientation,0)))</f>
        <v>0.44002399040383849</v>
      </c>
      <c r="BX7" s="17">
        <f>CD7</f>
        <v>0.25881904510252074</v>
      </c>
      <c r="BY7" s="4">
        <f>T7*V7*W7*X7</f>
        <v>0.40459999999999996</v>
      </c>
      <c r="BZ7" s="4">
        <f>T7</f>
        <v>0.85</v>
      </c>
      <c r="CA7" s="4">
        <f t="shared" ref="CA7" si="11">V7</f>
        <v>0.7</v>
      </c>
      <c r="CB7" s="4">
        <f t="shared" ref="CB7" si="12">W7</f>
        <v>0.8</v>
      </c>
      <c r="CC7" s="4">
        <f t="shared" ref="CC7" si="13">X7</f>
        <v>0.85</v>
      </c>
      <c r="CD7" s="17">
        <f>IF(Y7&gt;=60,0,COS(1.5*Y7*PI()/180))</f>
        <v>0.25881904510252074</v>
      </c>
      <c r="CE7" s="4">
        <f>Y7</f>
        <v>50</v>
      </c>
      <c r="CF7" s="4">
        <f>R7*Tables!$BT$11</f>
        <v>1000</v>
      </c>
      <c r="CG7" s="4" t="str">
        <f>S7</f>
        <v>No</v>
      </c>
      <c r="CH7" s="4">
        <f>IF((IF(CI7&lt;0.02,0,INDEX(Supply_factor_toplighting,IF(AND(CF7&gt;=Tables!$AS$5,CF7&lt;=Tables!$AS$8),MATCH(CF7,Design_Illuminance,1),IF(CF7&lt;Tables!$AS$5,1,4)),IF(CI7&lt;0.04,1,IF(CI7&lt;0.07,2,3))))-IF(CI7&lt;0.02,0,INDEX(Supply_factor_toplighting,IF(AND(CF7&gt;=Tables!$AS$5,CF7&lt;=Tables!$AS$8),MATCH(CF7,Design_Illuminance,1)+1,IF(CF7&lt;Tables!$AS$5,1,4)),IF(CI7&lt;0.04,1,IF(CI7&lt;0.07,2,3)))))&lt;&gt;0,(INDEX(Design_Illuminance,IF(AND(CF7&gt;=Tables!$AS$5,CF7&lt;=Tables!$AS$8),MATCH(CF7,Design_Illuminance,1)+1,IF(CF7&lt;Tables!$AS$5,1,4)),1)-CF7)/(INDEX(Design_Illuminance,IF(AND(CF7&gt;=Tables!$AS$5,CF7&lt;=Tables!$AS$8),MATCH(CF7,Design_Illuminance,1)+1,IF(CF7&lt;Tables!$AS$5,1,4)),1)-INDEX(Design_Illuminance,IF(AND(CF7&gt;=Tables!$AS$5,CF7&lt;=Tables!$AS$8),MATCH(CF7,Design_Illuminance,1),IF(CF7&lt;Tables!$AS$5,1,4)),1))*(IF(CI7&lt;0.02,0,INDEX(Supply_factor_toplighting,IF(AND(CF7&gt;=Tables!$AS$5,CF7&lt;=Tables!$AS$8),MATCH(CF7,Design_Illuminance,1),IF(CF7&lt;Tables!$AS$5,1,4)),IF(CI7&lt;0.04,1,IF(CI7&lt;0.07,2,3))))-IF(CI7&lt;0.02,0,INDEX(Supply_factor_toplighting,IF(AND(CF7&gt;=Tables!$AS$5,CF7&lt;=Tables!$AS$8),MATCH(CF7,Design_Illuminance,1)+1,IF(CF7&lt;Tables!$AS$5,1,4)),IF(CI7&lt;0.04,1,IF(CI7&lt;0.07,2,3)))))+IF(CI7&lt;0.02,0,INDEX(Supply_factor_toplighting,IF(AND(CF7&gt;=Tables!$AS$5,CF7&lt;=Tables!$AS$8),MATCH(CF7,Design_Illuminance,1)+1,IF(CF7&lt;Tables!$AS$5,1,4)),IF(CI7&lt;0.04,1,IF(CI7&lt;0.07,2,3)))),IF(CI7&lt;0.02,0,INDEX(Supply_factor_toplighting,IF(AND(CF7&gt;=Tables!$AS$5,CF7&lt;=Tables!$AS$8),MATCH(CF7,Design_Illuminance,1),IF(CF7&lt;Tables!$AS$5,1,4)),IF(CI7&lt;0.04,1,IF(CI7&lt;0.07,2,3)))))</f>
        <v>0</v>
      </c>
      <c r="CI7" s="4">
        <f>T7*V7*W7*X7*CN7/CO7*CP7</f>
        <v>5.832649504950496E-3</v>
      </c>
      <c r="CJ7" s="4">
        <f>T7</f>
        <v>0.85</v>
      </c>
      <c r="CK7" s="4">
        <f t="shared" ref="CK7" si="14">V7</f>
        <v>0.7</v>
      </c>
      <c r="CL7" s="4">
        <f t="shared" ref="CL7" si="15">W7</f>
        <v>0.8</v>
      </c>
      <c r="CM7" s="4">
        <f t="shared" ref="CM7" si="16">X7</f>
        <v>0.85</v>
      </c>
      <c r="CN7" s="4">
        <f>AC7*Tables!$BT$10</f>
        <v>14.000000000000002</v>
      </c>
      <c r="CO7" s="4">
        <f>I7*Tables!$BT$10</f>
        <v>505</v>
      </c>
      <c r="CP7" s="4">
        <f>VLOOKUP(CQ7,RCR,2,TRUE)</f>
        <v>0.52</v>
      </c>
      <c r="CQ7" s="4">
        <f>(5*AD7*(AE7+AF7)/(AE7*AF7))</f>
        <v>6.75</v>
      </c>
      <c r="CR7" s="4">
        <f>AD7</f>
        <v>15</v>
      </c>
      <c r="CS7" s="4">
        <f t="shared" ref="CS7" si="17">AE7</f>
        <v>25</v>
      </c>
      <c r="CT7" s="4">
        <f t="shared" ref="CT7" si="18">AF7</f>
        <v>20</v>
      </c>
      <c r="CU7" s="4" t="str">
        <f t="shared" ref="CU7" si="19">C7</f>
        <v>Office - Enclosed</v>
      </c>
      <c r="CV7" s="4" t="str">
        <f t="shared" ref="CV7" si="20">D7</f>
        <v>Yes</v>
      </c>
      <c r="CW7" s="4" t="str">
        <f t="shared" ref="CW7" si="21">E7</f>
        <v>Storage and supply rooms up to 100 m2</v>
      </c>
      <c r="CX7" s="4" t="str">
        <f>H7</f>
        <v>Automatic</v>
      </c>
      <c r="CY7" s="4">
        <f>G7</f>
        <v>6.0959998049999999</v>
      </c>
      <c r="CZ7" s="4">
        <f>1-DA7*DB7</f>
        <v>0.79899999999999993</v>
      </c>
      <c r="DA7" s="4">
        <f>INDEX(Realtive_Absence_of_Occupants__CA_i,MATCH(C7,Space_Types,0))</f>
        <v>0.3</v>
      </c>
      <c r="DB7" s="4">
        <f>INDEX(Cocc_ctrl_i,MATCH(H7,Occupancy_ctrl_mechanism,0))</f>
        <v>0.67</v>
      </c>
      <c r="DC7" s="4">
        <f>1-DD7</f>
        <v>0.9</v>
      </c>
      <c r="DD7" s="18">
        <f>IF(F7=Tables!$BL$4,INDEX(Personal_control__Cpers_ctrl_i,MATCH(C7,Space_Types,0)),0)</f>
        <v>0.1</v>
      </c>
      <c r="DF7" s="15">
        <f>DG7*(DH7*(DJ7+DL7)+DI7*(DK7+DL7))</f>
        <v>18005964.375</v>
      </c>
      <c r="DG7" s="4">
        <f>IF(MATCH(C7,Space_Types,0)=1,MIN(G7*Tables!$BT$11,13)*Tables!$BI$5+MAX((G7*Tables!$BT$11-13),0)*Tables!$BJ$5,INDEX(Prescriptive_LPD,MATCH(C7,Space_Types,0)))</f>
        <v>11.9</v>
      </c>
      <c r="DH7" s="4">
        <f>IF(BM7&gt;0,J7*Tables!$BT$10,)</f>
        <v>49</v>
      </c>
      <c r="DI7" s="4">
        <f>DM7-DH7</f>
        <v>456</v>
      </c>
      <c r="DJ7" s="4">
        <f>DN7</f>
        <v>2380.221</v>
      </c>
      <c r="DK7" s="4">
        <f>DS7</f>
        <v>2380.221</v>
      </c>
      <c r="DL7" s="4">
        <f>DW7</f>
        <v>616.029</v>
      </c>
      <c r="DM7" s="18">
        <f>I7*Tables!$BT$10</f>
        <v>505</v>
      </c>
      <c r="DN7" s="4">
        <f>DO7*DP7*DQ7*DR7</f>
        <v>2380.221</v>
      </c>
      <c r="DO7" s="4">
        <f>EA7</f>
        <v>2979</v>
      </c>
      <c r="DP7" s="4">
        <f>EC7</f>
        <v>1</v>
      </c>
      <c r="DQ7" s="4">
        <f>FK7</f>
        <v>0.79899999999999993</v>
      </c>
      <c r="DR7" s="4">
        <f>FN7</f>
        <v>1</v>
      </c>
      <c r="DS7" s="4">
        <f>DT7*DU7*DV7</f>
        <v>2380.221</v>
      </c>
      <c r="DT7" s="4">
        <f>DO7</f>
        <v>2979</v>
      </c>
      <c r="DU7" s="4">
        <f t="shared" ref="DU7" si="22">DQ7</f>
        <v>0.79899999999999993</v>
      </c>
      <c r="DV7" s="4">
        <f t="shared" ref="DV7" si="23">DR7</f>
        <v>1</v>
      </c>
      <c r="DW7" s="4">
        <f>DX7*DY7*DZ7</f>
        <v>616.029</v>
      </c>
      <c r="DX7" s="4">
        <f>EB7</f>
        <v>771</v>
      </c>
      <c r="DY7" s="4">
        <f t="shared" ref="DY7" si="24">DQ7</f>
        <v>0.79899999999999993</v>
      </c>
      <c r="DZ7" s="4">
        <f t="shared" ref="DZ7" si="25">DR7</f>
        <v>1</v>
      </c>
      <c r="EA7" s="4">
        <f t="shared" ref="EA7" si="26">BF7</f>
        <v>2979</v>
      </c>
      <c r="EB7" s="4">
        <f t="shared" ref="EB7" si="27">BG7</f>
        <v>771</v>
      </c>
      <c r="EC7" s="67">
        <f>IF(ED7=Tables!$AQ$4,0,1-INDEX(C_DL_ctrl_value,MATCH(EF7,C_DL_ctrl,0))*EE7*INDEX(C_EL_ctrl_value,MATCH(EG7,C_EL_ctrl,0)))</f>
        <v>1</v>
      </c>
      <c r="ED7" s="19" t="str">
        <f>N7</f>
        <v>Toplighting</v>
      </c>
      <c r="EE7" s="4">
        <f>IF(ED7=Tables!$AQ$5,EJ7,EV7)</f>
        <v>0</v>
      </c>
      <c r="EF7" s="65" t="str">
        <f>IF(Select_Lang="English", "Manual", "Manuelle")</f>
        <v>Manual</v>
      </c>
      <c r="EG7" s="60" t="str">
        <f>IF(N7=Tables!$AQ$5,FO7,IF(N7=Tables!$AQ$6,FP7))</f>
        <v>No control</v>
      </c>
      <c r="EH7" s="19" t="str">
        <f>Q7</f>
        <v>North</v>
      </c>
      <c r="EI7" s="18">
        <f>R7*Tables!$BT$12</f>
        <v>1000</v>
      </c>
      <c r="EJ7" s="4">
        <f>EK7*EL7*EM7</f>
        <v>4.607851391689409E-2</v>
      </c>
      <c r="EK7" s="4">
        <f>EN7</f>
        <v>0.40459999999999996</v>
      </c>
      <c r="EL7" s="4">
        <f>IF((INDEX(Design_Illuminance,IF(AND(BS7&gt;=Tables!$AK$5,BS7&lt;=Tables!$AK$8),MATCH(BS7,Design_Illuminance,1)+1,IF(BS7&lt;Tables!$AK$5,1,4)),1)-INDEX(Design_Illuminance,IF(AND(BS7&gt;=Tables!$AK$5,BS7&lt;=Tables!$AK$8),MATCH(BS7,Design_Illuminance,1),IF(BS7&lt;Tables!$AK$5,1,4)),1))&lt;&gt;0,(BS7-INDEX(Design_Illuminance,IF(AND(BS7&gt;=Tables!$AK$5,BS7&lt;=Tables!$AK$8),MATCH(BS7,Design_Illuminance,1),IF(BS7&lt;Tables!$AK$5,1,4)),1))/(INDEX(Design_Illuminance,IF(AND(BS7&gt;=Tables!$AK$5,BS7&lt;=Tables!$AK$8),MATCH(BS7,Design_Illuminance,1)+1,IF(BS7&lt;Tables!$AK$5,1,4)),1)-INDEX(Design_Illuminance,IF(AND(BS7&gt;=Tables!$AK$5,BS7&lt;=Tables!$AK$8),MATCH(BS7,Design_Illuminance,1),IF(BS7&lt;Tables!$AK$5,1,4)),1))*(INDEX(Raw_Daylight_Supply,IF(AND(BS7&gt;=Tables!$AK$5,BS7&lt;=Tables!$AK$8),MATCH(BS7,Design_Illuminance,1)+1,IF(BS7&lt;Tables!$AK$5,1,4)),MATCH(Q7,Orientation,0))-INDEX(Raw_Daylight_Supply,IF(AND(BS7&gt;=Tables!$AK$5,BS7&lt;=Tables!$AK$8),MATCH(BS7,Design_Illuminance,1),IF(BS7&lt;Tables!$AK$5,1,4)),MATCH(Q7,Orientation,0)))+INDEX(Raw_Daylight_Supply,IF(AND(BS7&gt;=Tables!$AK$5,BS7&lt;=Tables!$AK$8),MATCH(BS7,Design_Illuminance,1),IF(BS7&lt;Tables!$AK$5,1,4)),MATCH(Q7,Orientation,0)),INDEX(Raw_Daylight_Supply,IF(AND(BS7&gt;=Tables!$AK$5,BS7&lt;=Tables!$AK$8),MATCH(BS7,Design_Illuminance,1),IF(BS7&lt;Tables!$AK$5,1,4)),MATCH(Q7,Orientation,0)))</f>
        <v>0.44002399040383849</v>
      </c>
      <c r="EM7" s="17">
        <f>ES7</f>
        <v>0.25881904510252074</v>
      </c>
      <c r="EN7" s="4">
        <f>EO7*EP7*EQ7*ER7</f>
        <v>0.40459999999999996</v>
      </c>
      <c r="EO7" s="18">
        <f>T7</f>
        <v>0.85</v>
      </c>
      <c r="EP7" s="18">
        <f t="shared" ref="EP7" si="28">V7</f>
        <v>0.7</v>
      </c>
      <c r="EQ7" s="18">
        <f t="shared" ref="EQ7" si="29">W7</f>
        <v>0.8</v>
      </c>
      <c r="ER7" s="18">
        <f t="shared" ref="ER7" si="30">X7</f>
        <v>0.85</v>
      </c>
      <c r="ES7" s="17">
        <f>IF(ET7&gt;=60,0,COS(1.5*ET7*PI()/180))</f>
        <v>0.25881904510252074</v>
      </c>
      <c r="ET7" s="18">
        <f>Y7</f>
        <v>50</v>
      </c>
      <c r="EU7" s="18">
        <f>R7</f>
        <v>1000</v>
      </c>
      <c r="EV7" s="4">
        <f>IF((IF(CI7&lt;0.02,0,INDEX(Supply_factor_toplighting,IF(AND(CF7&gt;=Tables!$AS$5,CF7&lt;=Tables!$AS$8),MATCH(CF7,Design_Illuminance,1),IF(CF7&lt;Tables!$AS$5,1,4)),IF(CI7&lt;0.04,1,IF(CI7&lt;0.07,2,3))))-IF(CI7&lt;0.02,0,INDEX(Supply_factor_toplighting,IF(AND(CF7&gt;=Tables!$AS$5,CF7&lt;=Tables!$AS$8),MATCH(CF7,Design_Illuminance,1)+1,IF(CF7&lt;Tables!$AS$5,1,4)),IF(CI7&lt;0.04,1,IF(CI7&lt;0.07,2,3)))))&lt;&gt;0,(INDEX(Design_Illuminance,IF(AND(CF7&gt;=Tables!$AS$5,CF7&lt;=Tables!$AS$8),MATCH(CF7,Design_Illuminance,1)+1,IF(CF7&lt;Tables!$AS$5,1,4)),1)-CF7)/(INDEX(Design_Illuminance,IF(AND(CF7&gt;=Tables!$AS$5,CF7&lt;=Tables!$AS$8),MATCH(CF7,Design_Illuminance,1)+1,IF(CF7&lt;Tables!$AS$5,1,4)),1)-INDEX(Design_Illuminance,IF(AND(CF7&gt;=Tables!$AS$5,CF7&lt;=Tables!$AS$8),MATCH(CF7,Design_Illuminance,1),IF(CF7&lt;Tables!$AS$5,1,4)),1))*(IF(CI7&lt;0.02,0,INDEX(Supply_factor_toplighting,IF(AND(CF7&gt;=Tables!$AS$5,CF7&lt;=Tables!$AS$8),MATCH(CF7,Design_Illuminance,1),IF(CF7&lt;Tables!$AS$5,1,4)),IF(CI7&lt;0.04,1,IF(CI7&lt;0.07,2,3))))-IF(CI7&lt;0.02,0,INDEX(Supply_factor_toplighting,IF(AND(CF7&gt;=Tables!$AS$5,CF7&lt;=Tables!$AS$8),MATCH(CF7,Design_Illuminance,1)+1,IF(CF7&lt;Tables!$AS$5,1,4)),IF(CI7&lt;0.04,1,IF(CI7&lt;0.07,2,3)))))+IF(CI7&lt;0.02,0,INDEX(Supply_factor_toplighting,IF(AND(CF7&gt;=Tables!$AS$5,CF7&lt;=Tables!$AS$8),MATCH(CF7,Design_Illuminance,1)+1,IF(CF7&lt;Tables!$AS$5,1,4)),IF(CI7&lt;0.04,1,IF(CI7&lt;0.07,2,3)))),IF(CI7&lt;0.02,0,INDEX(Supply_factor_toplighting,IF(AND(CF7&gt;=Tables!$AS$5,CF7&lt;=Tables!$AS$8),MATCH(CF7,Design_Illuminance,1),IF(CF7&lt;Tables!$AS$5,1,4)),IF(CI7&lt;0.04,1,IF(CI7&lt;0.07,2,3)))))</f>
        <v>0</v>
      </c>
      <c r="EW7" s="4">
        <f>EX7*EY7*EZ7*FA7*FB7/FC7*FD7</f>
        <v>5.832649504950496E-3</v>
      </c>
      <c r="EX7" s="18">
        <f>T7</f>
        <v>0.85</v>
      </c>
      <c r="EY7" s="18">
        <f t="shared" ref="EY7" si="31">V7</f>
        <v>0.7</v>
      </c>
      <c r="EZ7" s="18">
        <f t="shared" ref="EZ7" si="32">W7</f>
        <v>0.8</v>
      </c>
      <c r="FA7" s="18">
        <f t="shared" ref="FA7" si="33">X7</f>
        <v>0.85</v>
      </c>
      <c r="FB7" s="18">
        <f>AC7</f>
        <v>14.000000000000002</v>
      </c>
      <c r="FC7" s="4">
        <f>DM7</f>
        <v>505</v>
      </c>
      <c r="FD7" s="4">
        <f>VLOOKUP(FE7,RCR,2,TRUE)</f>
        <v>0.52</v>
      </c>
      <c r="FE7" s="4">
        <f>(5*FF7*(FG7+FH7)/(FG7*FH7))</f>
        <v>6.75</v>
      </c>
      <c r="FF7" s="18">
        <f t="shared" ref="FF7" si="34">AD7</f>
        <v>15</v>
      </c>
      <c r="FG7" s="18">
        <f t="shared" ref="FG7" si="35">AE7</f>
        <v>25</v>
      </c>
      <c r="FH7" s="18">
        <f t="shared" ref="FH7" si="36">AF7</f>
        <v>20</v>
      </c>
      <c r="FI7" s="20" t="str">
        <f>C7</f>
        <v>Office - Enclosed</v>
      </c>
      <c r="FJ7" s="60" t="str">
        <f>IF(OR(E7=Tables!$BN$12,D7=Tables!$BL$5),Tables!$BE$7,Tables!$BE$6)</f>
        <v>Automatic</v>
      </c>
      <c r="FK7" s="63">
        <f>1-FL7*FM7</f>
        <v>0.79899999999999993</v>
      </c>
      <c r="FL7" s="4">
        <f>INDEX(Realtive_Absence_of_Occupants__CA_i,MATCH(FI7,Space_Types,0))</f>
        <v>0.3</v>
      </c>
      <c r="FM7" s="4">
        <f>INDEX(Cocc_ctrl_i,MATCH(FJ7,Occupancy_ctrl_mechanism,0))</f>
        <v>0.67</v>
      </c>
      <c r="FN7" s="4">
        <v>1</v>
      </c>
      <c r="FO7" s="60" t="str">
        <f>IF(Select_Units="SI",IF(AND(D7=Tables!$BL$4, J7&gt;100,  IF(OR(Y7&gt;63,  U7&lt;10%, C7=Tables!$BA$87,C7=Tables!$BA$88,C7=Tables!$BA$89), FALSE,TRUE)), Tables!$AH$5,Tables!$AH$8), IF(AND(D7=Tables!$BL$4, J7&gt;1076,  IF(OR(Y7&gt;63,  U7&lt;10%, C7=Tables!$BA$87,C7=Tables!$BA$88,C7=Tables!$BA$89)=TRUE, FALSE,TRUE)), Tables!$AH$5,Tables!$AH$8))</f>
        <v>No control</v>
      </c>
      <c r="FP7" s="60" t="str">
        <f>IF(Select_Units="SI",IF(AND(D7=Tables!$BL$4, J7&gt;400,  IF(OR(Z7&lt;0.006, AND(AA7=Tables!$BL$4, J7&lt;800), AB7=Tables!$BL$4)=TRUE, FALSE,TRUE)), Tables!$AH$5,Tables!$AH$8), IF(AND(D7=Tables!$BL$4, J7&gt;4305.56,  IF(OR(Z7&lt;0.006, AND(AA7=Tables!$BL$4, J7&lt;8611.13), AB7=Tables!$BL$4)=TRUE, FALSE,TRUE)), Tables!$AH$5,Tables!$AH$8))</f>
        <v>No control</v>
      </c>
      <c r="FQ7" s="4">
        <f>IF(AND(OR(I7&lt;FR7,I7&gt;FS7),OR( N7="Toplighting",N7="Zénithal")),1,0)</f>
        <v>0</v>
      </c>
      <c r="FR7" s="4">
        <f>(AE7*AF7)-(AE7*AF7*0.01)</f>
        <v>495</v>
      </c>
      <c r="FS7" s="4">
        <f>(AE7*AF7)+(AE7*AF7*0.01)</f>
        <v>505</v>
      </c>
    </row>
    <row r="8" spans="1:175" x14ac:dyDescent="0.25"/>
    <row r="9" spans="1:175" x14ac:dyDescent="0.25"/>
    <row r="10" spans="1:175" x14ac:dyDescent="0.25"/>
    <row r="11" spans="1:175" x14ac:dyDescent="0.25"/>
    <row r="12" spans="1:175" x14ac:dyDescent="0.25"/>
    <row r="13" spans="1:175" x14ac:dyDescent="0.25"/>
    <row r="14" spans="1:175" x14ac:dyDescent="0.25"/>
    <row r="15" spans="1:175" x14ac:dyDescent="0.25"/>
    <row r="16" spans="1:175" x14ac:dyDescent="0.25"/>
    <row r="17" x14ac:dyDescent="0.25"/>
    <row r="18" x14ac:dyDescent="0.25"/>
    <row r="19" x14ac:dyDescent="0.25"/>
    <row r="20" ht="11.25" customHeight="1"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sheetData>
  <sheetProtection password="CC3D" sheet="1" objects="1" scenarios="1"/>
  <dataConsolidate/>
  <conditionalFormatting sqref="L5">
    <cfRule type="expression" dxfId="42" priority="1642">
      <formula>$FQ$5=1</formula>
    </cfRule>
  </conditionalFormatting>
  <conditionalFormatting sqref="A5">
    <cfRule type="expression" dxfId="41" priority="2060">
      <formula>$G$5</formula>
    </cfRule>
  </conditionalFormatting>
  <conditionalFormatting sqref="K5">
    <cfRule type="expression" dxfId="40" priority="1563">
      <formula>$FQ$5=1</formula>
    </cfRule>
  </conditionalFormatting>
  <conditionalFormatting sqref="B5">
    <cfRule type="expression" dxfId="39" priority="2061">
      <formula>$G$5</formula>
    </cfRule>
  </conditionalFormatting>
  <conditionalFormatting sqref="E7">
    <cfRule type="expression" dxfId="38" priority="105">
      <formula>OR(D7="No",D7="Non")</formula>
    </cfRule>
  </conditionalFormatting>
  <conditionalFormatting sqref="G7">
    <cfRule type="expression" dxfId="37" priority="104">
      <formula>C7&lt;&gt;"Atrium"</formula>
    </cfRule>
  </conditionalFormatting>
  <conditionalFormatting sqref="AD7">
    <cfRule type="expression" dxfId="36" priority="83">
      <formula>N7 = "No daylight"</formula>
    </cfRule>
    <cfRule type="expression" dxfId="35" priority="100">
      <formula>N7 = "Sidelighting"</formula>
    </cfRule>
    <cfRule type="expression" dxfId="34" priority="103">
      <formula>P7 = "Sidelighting"</formula>
    </cfRule>
  </conditionalFormatting>
  <conditionalFormatting sqref="AC7">
    <cfRule type="expression" dxfId="33" priority="84">
      <formula>N7 = "No daylight"</formula>
    </cfRule>
    <cfRule type="expression" dxfId="32" priority="102">
      <formula>N7 = "Sidelighting"</formula>
    </cfRule>
  </conditionalFormatting>
  <conditionalFormatting sqref="Z7:AA7">
    <cfRule type="expression" dxfId="31" priority="85">
      <formula>N7 = "No daylight"</formula>
    </cfRule>
    <cfRule type="expression" dxfId="30" priority="101">
      <formula>N7 = "Sidelighting"</formula>
    </cfRule>
  </conditionalFormatting>
  <conditionalFormatting sqref="Q7">
    <cfRule type="expression" dxfId="29" priority="94">
      <formula>N7 = "No daylight"</formula>
    </cfRule>
    <cfRule type="expression" dxfId="28" priority="99">
      <formula>N7 = "Toplighting"</formula>
    </cfRule>
  </conditionalFormatting>
  <conditionalFormatting sqref="U7">
    <cfRule type="expression" dxfId="27" priority="90">
      <formula>N7 = "No daylight"</formula>
    </cfRule>
    <cfRule type="expression" dxfId="26" priority="98">
      <formula>N7 = "Toplighting"</formula>
    </cfRule>
  </conditionalFormatting>
  <conditionalFormatting sqref="Y7">
    <cfRule type="expression" dxfId="25" priority="86">
      <formula>N7 = "No daylight"</formula>
    </cfRule>
    <cfRule type="expression" dxfId="24" priority="97">
      <formula>N7 = "Toplighting"</formula>
    </cfRule>
  </conditionalFormatting>
  <conditionalFormatting sqref="O7">
    <cfRule type="expression" dxfId="23" priority="96">
      <formula>N7 ="No daylight"</formula>
    </cfRule>
  </conditionalFormatting>
  <conditionalFormatting sqref="P7">
    <cfRule type="expression" dxfId="22" priority="95">
      <formula>N7 = "No daylight"</formula>
    </cfRule>
  </conditionalFormatting>
  <conditionalFormatting sqref="R7">
    <cfRule type="expression" dxfId="21" priority="93">
      <formula>N7 = "No daylight"</formula>
    </cfRule>
  </conditionalFormatting>
  <conditionalFormatting sqref="S7">
    <cfRule type="expression" dxfId="20" priority="92">
      <formula>N7 = "No daylight"</formula>
    </cfRule>
  </conditionalFormatting>
  <conditionalFormatting sqref="T7">
    <cfRule type="expression" dxfId="19" priority="91">
      <formula>N7 = "No daylight"</formula>
    </cfRule>
  </conditionalFormatting>
  <conditionalFormatting sqref="V7">
    <cfRule type="expression" dxfId="18" priority="89">
      <formula>N7 = "No daylight"</formula>
    </cfRule>
  </conditionalFormatting>
  <conditionalFormatting sqref="W7">
    <cfRule type="expression" dxfId="17" priority="88">
      <formula>N7 = "No daylight"</formula>
    </cfRule>
  </conditionalFormatting>
  <conditionalFormatting sqref="X7">
    <cfRule type="expression" dxfId="16" priority="87">
      <formula>N7 = "No daylight"</formula>
    </cfRule>
  </conditionalFormatting>
  <conditionalFormatting sqref="AB7">
    <cfRule type="expression" dxfId="15" priority="79">
      <formula>N7 = "Sidelighting"</formula>
    </cfRule>
    <cfRule type="expression" dxfId="14" priority="81">
      <formula>N7 = "No daylight"</formula>
    </cfRule>
    <cfRule type="expression" dxfId="13" priority="106">
      <formula>O7 = "No daylight"</formula>
    </cfRule>
    <cfRule type="expression" dxfId="12" priority="107">
      <formula>O7 = "Sidelighting"</formula>
    </cfRule>
  </conditionalFormatting>
  <conditionalFormatting sqref="AA7">
    <cfRule type="expression" dxfId="11" priority="80">
      <formula>N7 = "Sidelighting"</formula>
    </cfRule>
    <cfRule type="expression" dxfId="10" priority="82">
      <formula>N7 = "No daylight"</formula>
    </cfRule>
  </conditionalFormatting>
  <conditionalFormatting sqref="O7:AF7">
    <cfRule type="expression" dxfId="9" priority="108">
      <formula>N7= "Aucune"</formula>
    </cfRule>
  </conditionalFormatting>
  <conditionalFormatting sqref="Z7:AF7">
    <cfRule type="expression" dxfId="8" priority="109">
      <formula>N7="Latéral"</formula>
    </cfRule>
  </conditionalFormatting>
  <conditionalFormatting sqref="Q7 U7 Y7">
    <cfRule type="expression" dxfId="7" priority="110">
      <formula>N7="Zénithal"</formula>
    </cfRule>
  </conditionalFormatting>
  <conditionalFormatting sqref="AE7">
    <cfRule type="expression" dxfId="6" priority="111">
      <formula>AND(OR(I7&gt;FS7,I7&lt;FR7),OR( N7="Toplighting",N7="Zénithal"))</formula>
    </cfRule>
    <cfRule type="expression" dxfId="5" priority="112">
      <formula>N7 = "No daylight"</formula>
    </cfRule>
    <cfRule type="expression" dxfId="4" priority="113">
      <formula>N7 = "Sidelighting"</formula>
    </cfRule>
  </conditionalFormatting>
  <conditionalFormatting sqref="AF7">
    <cfRule type="expression" dxfId="3" priority="114">
      <formula>AND(OR(I7&gt;FS7,I7&lt;FR7),OR( N7="Toplighting",N7="Zénithal"))</formula>
    </cfRule>
    <cfRule type="expression" dxfId="2" priority="115">
      <formula>N7 = "No daylight"</formula>
    </cfRule>
    <cfRule type="expression" dxfId="1" priority="116">
      <formula>N7 = "Sidelighting"</formula>
    </cfRule>
  </conditionalFormatting>
  <conditionalFormatting sqref="I7">
    <cfRule type="expression" dxfId="0" priority="117">
      <formula>AND(OR(I7&gt;FS7,I7&lt;FR7),OR( N7="Toplighting",N7="Zénithal"))</formula>
    </cfRule>
  </conditionalFormatting>
  <dataValidations xWindow="1381" yWindow="444" count="21">
    <dataValidation type="list" allowBlank="1" showInputMessage="1" showErrorMessage="1" sqref="D7 AA7:AB7 F7" xr:uid="{00000000-0002-0000-0100-000000000000}">
      <formula1>Choice_Y_N</formula1>
    </dataValidation>
    <dataValidation type="list" allowBlank="1" showInputMessage="1" showErrorMessage="1" sqref="Q7" xr:uid="{00000000-0002-0000-0100-000001000000}">
      <formula1>Orientation</formula1>
    </dataValidation>
    <dataValidation type="list" allowBlank="1" showInputMessage="1" showErrorMessage="1" sqref="P7" xr:uid="{00000000-0002-0000-0100-000002000000}">
      <formula1>C_EL_ctrl</formula1>
    </dataValidation>
    <dataValidation type="list" allowBlank="1" showInputMessage="1" showErrorMessage="1" sqref="O7" xr:uid="{00000000-0002-0000-0100-000003000000}">
      <formula1>C_DL_ctrl</formula1>
    </dataValidation>
    <dataValidation type="list" allowBlank="1" showInputMessage="1" showErrorMessage="1" sqref="N7" xr:uid="{00000000-0002-0000-0100-000004000000}">
      <formula1>Daylight_supply</formula1>
    </dataValidation>
    <dataValidation type="list" allowBlank="1" showInputMessage="1" showErrorMessage="1" sqref="M7" xr:uid="{00000000-0002-0000-0100-000005000000}">
      <formula1>Stop_Hours</formula1>
    </dataValidation>
    <dataValidation type="list" allowBlank="1" showInputMessage="1" showErrorMessage="1" sqref="L7" xr:uid="{00000000-0002-0000-0100-000006000000}">
      <formula1>Hours</formula1>
    </dataValidation>
    <dataValidation type="list" allowBlank="1" showInputMessage="1" showErrorMessage="1" sqref="H7" xr:uid="{00000000-0002-0000-0100-000007000000}">
      <formula1>Occupancy_ctrl_mechanism</formula1>
    </dataValidation>
    <dataValidation type="list" allowBlank="1" showInputMessage="1" showErrorMessage="1" sqref="E7" xr:uid="{00000000-0002-0000-0100-000008000000}">
      <formula1>Enclosed_Spaces_List</formula1>
    </dataValidation>
    <dataValidation type="list" allowBlank="1" showInputMessage="1" showErrorMessage="1" sqref="C7" xr:uid="{00000000-0002-0000-0100-000009000000}">
      <formula1>Space_Types</formula1>
    </dataValidation>
    <dataValidation type="decimal" operator="greaterThan" allowBlank="1" showInputMessage="1" showErrorMessage="1" error="The input value must be greater than 0. / La valeur doit être supérieure à 0." sqref="G7 K7" xr:uid="{00000000-0002-0000-0100-00000A000000}">
      <formula1>0</formula1>
    </dataValidation>
    <dataValidation type="decimal" allowBlank="1" showInputMessage="1" showErrorMessage="1" error="The input value must be between 0 and 90. / La valeur doit être entre 0 et 90." sqref="Y7" xr:uid="{00000000-0002-0000-0100-00000B000000}">
      <formula1>0</formula1>
      <formula2>90</formula2>
    </dataValidation>
    <dataValidation type="decimal" allowBlank="1" showInputMessage="1" showErrorMessage="1" error="The input value must be between 0 and 1. / La valeur doit être entre 0 et 1." sqref="T7" xr:uid="{00000000-0002-0000-0100-00000C000000}">
      <formula1>0</formula1>
      <formula2>1</formula2>
    </dataValidation>
    <dataValidation type="decimal" operator="greaterThanOrEqual" allowBlank="1" showInputMessage="1" showErrorMessage="1" error="The input value must be greater or equal to 0. / La valeur doit être egale ou supérieure à 0." sqref="AD7:AF7" xr:uid="{00000000-0002-0000-0100-00000D000000}">
      <formula1>0</formula1>
    </dataValidation>
    <dataValidation type="decimal" allowBlank="1" showInputMessage="1" showErrorMessage="1" error="The input value must be between 0% and 100%. / La valeur doit être entre 0% et 100%." sqref="Z7 U7" xr:uid="{00000000-0002-0000-0100-00000E000000}">
      <formula1>0</formula1>
      <formula2>100</formula2>
    </dataValidation>
    <dataValidation type="custom" operator="lessThan" allowBlank="1" showInputMessage="1" showErrorMessage="1" error="The input must be less than or equal to the Gross Interior Floor Area. / La valeure doit être inférieure ou égale à l'Aire brute intérieure." sqref="J7" xr:uid="{00000000-0002-0000-0100-00000F000000}">
      <formula1>AND(OR(J7&lt;I7,J7=I7), OR(J7&gt;0, J7=0))</formula1>
    </dataValidation>
    <dataValidation type="custom" operator="greaterThan" allowBlank="1" showInputMessage="1" showErrorMessage="1" error="The input must be greater or equal to the Daylighted Area. / La valeure doit être supérieure ou égale à l'Aire éclairée naturellement._x000a_ " sqref="I7" xr:uid="{00000000-0002-0000-0100-000010000000}">
      <formula1>AND(OR(J7&lt;I7,J7=I7), I7&gt;0)</formula1>
    </dataValidation>
    <dataValidation type="custom" operator="greaterThanOrEqual" allowBlank="1" showInputMessage="1" showErrorMessage="1" error="The input must be less than or equal to the Daylighted Area. / La valeure doit être inférieure ou égale à l'Aire éclairée naturellement." sqref="AC7" xr:uid="{00000000-0002-0000-0100-000011000000}">
      <formula1>AND(AC7&gt;0, OR(AC7&lt;J7, AC7=J7))</formula1>
    </dataValidation>
    <dataValidation allowBlank="1" showInputMessage="1" showErrorMessage="1" promptTitle="Framing factor" prompt="No default value for Sidelighting. If unknown, set value to 0.7 for Toplighting only." sqref="V7" xr:uid="{00000000-0002-0000-0100-000012000000}"/>
    <dataValidation allowBlank="1" showInputMessage="1" showErrorMessage="1" promptTitle="Dirt Accumulation Factor" prompt="If unknown, set value to 0.8 for Sidelighting and 0.9 for Toplighting." sqref="W7" xr:uid="{00000000-0002-0000-0100-000013000000}"/>
    <dataValidation allowBlank="1" showInputMessage="1" showErrorMessage="1" promptTitle="Light Incidence Factor" prompt="If unknown, set value to 0.85" sqref="X7" xr:uid="{00000000-0002-0000-0100-000014000000}"/>
  </dataValidations>
  <hyperlinks>
    <hyperlink ref="D6" location="hlp_Enclosde_Space" display="hlp_Enclosde_Space" xr:uid="{00000000-0004-0000-0100-000000000000}"/>
    <hyperlink ref="C6" location="hlp_Space_Function" display="hlp_Space_Function" xr:uid="{00000000-0004-0000-0100-000001000000}"/>
    <hyperlink ref="B6" location="hlp_Space_name" display="hlp_Space_name" xr:uid="{00000000-0004-0000-0100-000002000000}"/>
    <hyperlink ref="E6" location="hlp_Enclosed_Space_Function" display="hlp_Enclosed_Space_Function" xr:uid="{00000000-0004-0000-0100-000003000000}"/>
    <hyperlink ref="G6" location="hlp_Atrium_Height" display="hlp_Atrium_Height" xr:uid="{00000000-0004-0000-0100-000004000000}"/>
    <hyperlink ref="H6" location="hlp_Occupancy_sensing_mechnism_type" display="hlp_Occupancy_sensing_mechnism_type" xr:uid="{00000000-0004-0000-0100-000005000000}"/>
    <hyperlink ref="I6" location="hlp_Gross_interior_floor_area" display="hlp_Gross_interior_floor_area" xr:uid="{00000000-0004-0000-0100-000006000000}"/>
    <hyperlink ref="J6" location="hlp_Daylighted_area" display="hlp_Daylighted_area" xr:uid="{00000000-0004-0000-0100-000007000000}"/>
    <hyperlink ref="K6" location="hlp_Llighting_power" display="hlp_Llighting_power" xr:uid="{00000000-0004-0000-0100-000008000000}"/>
    <hyperlink ref="L6" location="hlp_Space_operation_start_time" display="hlp_Space_operation_start_time" xr:uid="{00000000-0004-0000-0100-000009000000}"/>
    <hyperlink ref="M6" location="hlp_Space_operation_end_time" display="hlp_Space_operation_end_time" xr:uid="{00000000-0004-0000-0100-00000A000000}"/>
    <hyperlink ref="N6" location="hlp_Primary_type_of_daylight_supply" display="hlp_Primary_type_of_daylight_supply" xr:uid="{00000000-0004-0000-0100-00000B000000}"/>
    <hyperlink ref="O6" location="hlp_Daylight_system_control" display="hlp_Daylight_system_control" xr:uid="{00000000-0004-0000-0100-00000C000000}"/>
    <hyperlink ref="P6" location="hlp_Control_factor_for_lighting" display="hlp_Control_factor_for_lighting" xr:uid="{00000000-0004-0000-0100-00000D000000}"/>
    <hyperlink ref="Q6" location="hlp_Orientation_of_fenestration_providing_Sidelighting" display="hlp_Orientation_of_fenestration_providing_Sidelighting" xr:uid="{00000000-0004-0000-0100-00000E000000}"/>
    <hyperlink ref="R6" location="hlp_Design_illuminance___lx" display="hlp_Design_illuminance___lx" xr:uid="{00000000-0004-0000-0100-00000F000000}"/>
    <hyperlink ref="S6" location="hlp_Excluded_from_the_prescibed_automatic_control" display="hlp_Excluded_from_the_prescibed_automatic_control" xr:uid="{00000000-0004-0000-0100-000010000000}"/>
    <hyperlink ref="T6" location="hlp_Luminous_transmittance_of_the_glazing" display="hlp_Luminous_transmittance_of_the_glazing" xr:uid="{00000000-0004-0000-0100-000011000000}"/>
    <hyperlink ref="V6" location="hlp_Framing_Factor" display="hlp_Framing_Factor" xr:uid="{00000000-0004-0000-0100-000012000000}"/>
    <hyperlink ref="W6" location="hlp_Dirt_accumulation_factor" display="hlp_Dirt_accumulation_factor" xr:uid="{00000000-0004-0000-0100-000013000000}"/>
    <hyperlink ref="Y6" location="hlp_Angle_to_top_horizontal_obstruction" display="hlp_Angle_to_top_horizontal_obstruction" xr:uid="{00000000-0004-0000-0100-000014000000}"/>
    <hyperlink ref="AC6" location="hlp_Total_area_of_rough_opening_for_toplighting" display="hlp_Total_area_of_rough_opening_for_toplighting" xr:uid="{00000000-0004-0000-0100-000015000000}"/>
    <hyperlink ref="AD6" location="hlp_Height_of_the_space" display="hlp_Height_of_the_space" xr:uid="{00000000-0004-0000-0100-000016000000}"/>
    <hyperlink ref="AE6" location="hlp_Length_of_the_space" display="hlp_Length_of_the_space" xr:uid="{00000000-0004-0000-0100-000017000000}"/>
    <hyperlink ref="AF6" location="hlp_Width_of_the_space" display="hlp_Width_of_the_space" xr:uid="{00000000-0004-0000-0100-000018000000}"/>
    <hyperlink ref="AG6" location="hlp_IILE" display="hlp_IILE" xr:uid="{00000000-0004-0000-0100-000019000000}"/>
    <hyperlink ref="AH6" location="hlp_ILEA" display="hlp_ILEA" xr:uid="{00000000-0004-0000-0100-00001A000000}"/>
    <hyperlink ref="F6" location="hpl_Pers_Ctrl" display="hpl_Pers_Ctrl" xr:uid="{00000000-0004-0000-0100-00001B000000}"/>
    <hyperlink ref="U6" location="hpl_SEA" display="hpl_SEA" xr:uid="{00000000-0004-0000-0100-00001C000000}"/>
    <hyperlink ref="AA6" location="hpl_55N" display="hpl_55N" xr:uid="{00000000-0004-0000-0100-00001D000000}"/>
    <hyperlink ref="AB6" location="hpl_4224" display="hpl_4224" xr:uid="{00000000-0004-0000-0100-00001E000000}"/>
    <hyperlink ref="Z6" location="hpl_SAP" display="hpl_SAP" xr:uid="{00000000-0004-0000-0100-00001F000000}"/>
    <hyperlink ref="X6" location="hlp_Non_perpendicular_light_incidence_Factor" display="hlp_Non_perpendicular_light_incidence_Factor" xr:uid="{00000000-0004-0000-0100-000020000000}"/>
  </hyperlinks>
  <pageMargins left="0.7" right="0.7" top="0.75" bottom="0.75" header="0.3" footer="0.3"/>
  <pageSetup orientation="portrait" horizontalDpi="1200" verticalDpi="1200" r:id="rId1"/>
  <drawing r:id="rId2"/>
  <legacyDrawing r:id="rId3"/>
  <controls>
    <mc:AlternateContent xmlns:mc="http://schemas.openxmlformats.org/markup-compatibility/2006">
      <mc:Choice Requires="x14">
        <control shapeId="1030" r:id="rId4" name="CommandButton1">
          <controlPr defaultSize="0" autoLine="0" autoPict="0" r:id="rId5">
            <anchor moveWithCells="1">
              <from>
                <xdr:col>3</xdr:col>
                <xdr:colOff>419100</xdr:colOff>
                <xdr:row>0</xdr:row>
                <xdr:rowOff>190500</xdr:rowOff>
              </from>
              <to>
                <xdr:col>4</xdr:col>
                <xdr:colOff>2133600</xdr:colOff>
                <xdr:row>2</xdr:row>
                <xdr:rowOff>66675</xdr:rowOff>
              </to>
            </anchor>
          </controlPr>
        </control>
      </mc:Choice>
      <mc:Fallback>
        <control shapeId="1030" r:id="rId4" name="CommandButton1"/>
      </mc:Fallback>
    </mc:AlternateContent>
    <mc:AlternateContent xmlns:mc="http://schemas.openxmlformats.org/markup-compatibility/2006">
      <mc:Choice Requires="x14">
        <control shapeId="1031" r:id="rId6" name="CommandButton2">
          <controlPr defaultSize="0" autoLine="0" autoPict="0" r:id="rId7">
            <anchor moveWithCells="1">
              <from>
                <xdr:col>3</xdr:col>
                <xdr:colOff>409575</xdr:colOff>
                <xdr:row>3</xdr:row>
                <xdr:rowOff>0</xdr:rowOff>
              </from>
              <to>
                <xdr:col>4</xdr:col>
                <xdr:colOff>2162175</xdr:colOff>
                <xdr:row>4</xdr:row>
                <xdr:rowOff>66675</xdr:rowOff>
              </to>
            </anchor>
          </controlPr>
        </control>
      </mc:Choice>
      <mc:Fallback>
        <control shapeId="1031" r:id="rId6" name="CommandButton2"/>
      </mc:Fallback>
    </mc:AlternateContent>
    <mc:AlternateContent xmlns:mc="http://schemas.openxmlformats.org/markup-compatibility/2006">
      <mc:Choice Requires="x14">
        <control shapeId="1032" r:id="rId8" name="CommandButton3">
          <controlPr defaultSize="0" autoLine="0" r:id="rId9">
            <anchor moveWithCells="1">
              <from>
                <xdr:col>7</xdr:col>
                <xdr:colOff>85725</xdr:colOff>
                <xdr:row>0</xdr:row>
                <xdr:rowOff>180975</xdr:rowOff>
              </from>
              <to>
                <xdr:col>9</xdr:col>
                <xdr:colOff>600075</xdr:colOff>
                <xdr:row>2</xdr:row>
                <xdr:rowOff>57150</xdr:rowOff>
              </to>
            </anchor>
          </controlPr>
        </control>
      </mc:Choice>
      <mc:Fallback>
        <control shapeId="1032" r:id="rId8" name="CommandButton3"/>
      </mc:Fallback>
    </mc:AlternateContent>
    <mc:AlternateContent xmlns:mc="http://schemas.openxmlformats.org/markup-compatibility/2006">
      <mc:Choice Requires="x14">
        <control shapeId="1033" r:id="rId10" name="CommandButton4">
          <controlPr defaultSize="0" autoLine="0" autoPict="0" r:id="rId11">
            <anchor moveWithCells="1">
              <from>
                <xdr:col>7</xdr:col>
                <xdr:colOff>104775</xdr:colOff>
                <xdr:row>2</xdr:row>
                <xdr:rowOff>180975</xdr:rowOff>
              </from>
              <to>
                <xdr:col>9</xdr:col>
                <xdr:colOff>590550</xdr:colOff>
                <xdr:row>4</xdr:row>
                <xdr:rowOff>57150</xdr:rowOff>
              </to>
            </anchor>
          </controlPr>
        </control>
      </mc:Choice>
      <mc:Fallback>
        <control shapeId="1033" r:id="rId10" name="CommandButton4"/>
      </mc:Fallback>
    </mc:AlternateContent>
  </controls>
  <extLst>
    <ext xmlns:x14="http://schemas.microsoft.com/office/spreadsheetml/2009/9/main" uri="{CCE6A557-97BC-4b89-ADB6-D9C93CAAB3DF}">
      <x14:dataValidations xmlns:xm="http://schemas.microsoft.com/office/excel/2006/main" xWindow="1381" yWindow="444" count="1">
        <x14:dataValidation type="decimal" allowBlank="1" showInputMessage="1" showErrorMessage="1" error="The input value must be between 300 lx (27.87 fc) and 1000 lx (92.90 fc). / La valeur doit être entre 300 lx (27.87 fc) et 1000 (92.90 fc)." xr:uid="{00000000-0002-0000-0100-000015000000}">
          <x14:formula1>
            <xm:f>Tables!$AK$20</xm:f>
          </x14:formula1>
          <x14:formula2>
            <xm:f>Tables!$AK$21</xm:f>
          </x14:formula2>
          <xm:sqref>R7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39"/>
  <sheetViews>
    <sheetView showGridLines="0" workbookViewId="0">
      <selection activeCell="C17" sqref="C17"/>
    </sheetView>
  </sheetViews>
  <sheetFormatPr defaultColWidth="0" defaultRowHeight="15" zeroHeight="1" x14ac:dyDescent="0.25"/>
  <cols>
    <col min="1" max="1" width="2.7109375" customWidth="1"/>
    <col min="2" max="2" width="7.7109375" customWidth="1"/>
    <col min="3" max="3" width="25.7109375" customWidth="1"/>
    <col min="4" max="4" width="95.7109375" customWidth="1"/>
    <col min="5" max="5" width="8.85546875" customWidth="1"/>
    <col min="6" max="16384" width="8.85546875" hidden="1"/>
  </cols>
  <sheetData>
    <row r="1" spans="3:4" x14ac:dyDescent="0.25"/>
    <row r="2" spans="3:4" ht="30" x14ac:dyDescent="0.25">
      <c r="C2" s="41" t="str">
        <f>Tables!BW42</f>
        <v>Space Name</v>
      </c>
      <c r="D2" s="55" t="str">
        <f>Tables!CF4</f>
        <v>Define a unique name for the space being defined. Documentation describing the actual space should be kept for a possible validation of compliance by the Authority Having Jurisdiction.</v>
      </c>
    </row>
    <row r="3" spans="3:4" ht="30" x14ac:dyDescent="0.25">
      <c r="C3" s="41" t="str">
        <f>Tables!BW43</f>
        <v>Space Function</v>
      </c>
      <c r="D3" s="55" t="str">
        <f>Tables!CF5</f>
        <v>Select the space function that most closely match the actual main space function of the space being defined, as per Table 4.2.1.6 of the NECB.</v>
      </c>
    </row>
    <row r="4" spans="3:4" ht="30" x14ac:dyDescent="0.25">
      <c r="C4" s="41" t="str">
        <f>Tables!BW44</f>
        <v>Enclosed Space</v>
      </c>
      <c r="D4" s="55" t="str">
        <f>Tables!CF6</f>
        <v>A volume substantially surrounded by solid surfaces such as full-height walls/partitions, floors, ceilings, and operable devices such as doors and operable windows.</v>
      </c>
    </row>
    <row r="5" spans="3:4" ht="30" x14ac:dyDescent="0.25">
      <c r="C5" s="41" t="str">
        <f>Tables!BW45</f>
        <v>Enclosed Space Function</v>
      </c>
      <c r="D5" s="55" t="str">
        <f>Tables!CF7</f>
        <v>Select the space function that most closely matches the actual main space function of the enclosed space being defined, as specified in Article 4.2.2.2 2) of the NECB.</v>
      </c>
    </row>
    <row r="6" spans="3:4" x14ac:dyDescent="0.25">
      <c r="C6" s="41" t="str">
        <f>Tables!BW46</f>
        <v>Atrium Height - m</v>
      </c>
      <c r="D6" s="55" t="str">
        <f>Tables!CF8</f>
        <v>Specify the height of the atrium to determine the prescribed lighting power density</v>
      </c>
    </row>
    <row r="7" spans="3:4" ht="30" x14ac:dyDescent="0.25">
      <c r="C7" s="41" t="str">
        <f>Tables!BW47</f>
        <v>Occupancy-Sensing Mechanism Type</v>
      </c>
      <c r="D7" s="55" t="str">
        <f>Tables!CF9</f>
        <v>Specify if the occupancy-sensing mechanism is automatic or manual, as per Table 4.3.2.10.B of the NECB.</v>
      </c>
    </row>
    <row r="8" spans="3:4" ht="30" x14ac:dyDescent="0.25">
      <c r="C8" s="41" t="str">
        <f>Tables!BW48</f>
        <v>Gross Interior Floor Area - m2</v>
      </c>
      <c r="D8" s="55" t="str">
        <f>Tables!CF10</f>
        <v>Specify the gross interior floor area of the space</v>
      </c>
    </row>
    <row r="9" spans="3:4" ht="30" x14ac:dyDescent="0.25">
      <c r="C9" s="41" t="str">
        <f>Tables!BW49</f>
        <v>Daylighted Area - m2</v>
      </c>
      <c r="D9" s="55" t="str">
        <f>Tables!CF11</f>
        <v>Total area of the targeted space that has daylighting. Refer to NECB sections 4.2.2.5, 4.2.2.6 and 4.2.2.9 for the procedures to calculate this area.</v>
      </c>
    </row>
    <row r="10" spans="3:4" ht="15" customHeight="1" x14ac:dyDescent="0.25">
      <c r="C10" s="41" t="str">
        <f>Tables!BW50</f>
        <v>Lighting Power, W</v>
      </c>
      <c r="D10" s="55" t="str">
        <f>Tables!CF12</f>
        <v>Total installed lighting power in the space.</v>
      </c>
    </row>
    <row r="11" spans="3:4" x14ac:dyDescent="0.25">
      <c r="C11" s="41" t="str">
        <f>Tables!BW51</f>
        <v>Space Operation Start Time</v>
      </c>
      <c r="D11" s="55" t="str">
        <f>Tables!CF13</f>
        <v>Lighting operation starting hour for the space, as per Table 4.3.3.6.A of the NECB.</v>
      </c>
    </row>
    <row r="12" spans="3:4" x14ac:dyDescent="0.25">
      <c r="C12" s="41" t="str">
        <f>Tables!BW52</f>
        <v>Space Operation End time</v>
      </c>
      <c r="D12" s="55" t="str">
        <f>Tables!CF14</f>
        <v>Lighting operation ending hour for the space, as per Table 4.3.3.6.B of the NECB.</v>
      </c>
    </row>
    <row r="13" spans="3:4" ht="75" x14ac:dyDescent="0.25">
      <c r="C13" s="41" t="str">
        <f>Tables!BW53</f>
        <v>Primary Type of Daylight Supply</v>
      </c>
      <c r="D13" s="55" t="str">
        <f>Tables!CF15</f>
        <v>Defines the primary source of daylight, either sidelighting or toplighting. Sidelighting means the illumination of building interiors with daylight admitted through fenestration located on an exterior wall, such as windows. Toplighting means the illumination of building interiors with daylight admitted through fenestration located on the roof, such as skylights and rooftop monitors. Refer to Article 4.3.2.3 of NECB.</v>
      </c>
    </row>
    <row r="14" spans="3:4" ht="30" x14ac:dyDescent="0.25">
      <c r="C14" s="41" t="str">
        <f>Tables!BW54</f>
        <v>Daylight System Control</v>
      </c>
      <c r="D14" s="55" t="str">
        <f>Tables!CF16</f>
        <v>Specify if the daylight control mechanism is automatic or manual or whether there is no shading, as per Table 4.3.2.7.A of the NECB.</v>
      </c>
    </row>
    <row r="15" spans="3:4" ht="30" x14ac:dyDescent="0.25">
      <c r="C15" s="41" t="str">
        <f>Tables!BW55</f>
        <v>Control Factor for Daylighting</v>
      </c>
      <c r="D15" s="55" t="str">
        <f>Tables!CF17</f>
        <v>Specify if the type of daylight control used, as per Table 4.3.2.7.B of the NECB.</v>
      </c>
    </row>
    <row r="16" spans="3:4" ht="45" x14ac:dyDescent="0.25">
      <c r="C16" s="41" t="str">
        <f>Tables!BW56</f>
        <v>Orientation of Fenestration Providing Sidelighting</v>
      </c>
      <c r="D16" s="55" t="str">
        <f>Tables!CF18</f>
        <v>Enter the orientation of the fenestration providing sidelighting as per Article 4.3.2.8 and table 4.3.2.8 of the NECB.</v>
      </c>
    </row>
    <row r="17" spans="3:4" ht="45" x14ac:dyDescent="0.25">
      <c r="C17" s="41" t="str">
        <f>Tables!BW57</f>
        <v>Design Illuminance - lx</v>
      </c>
      <c r="D17" s="55" t="str">
        <f>Tables!CF19</f>
        <v>Enter the design illuminance of the space. According to Articles 4.3.2.8. and 4.3.2.9. of the NECB, the allowable range of illuminance values is between 300 lx (27.82 fc) and 1000 lx (92.90 fc) (refer to NECB Appendix A-Table 4.3.2.8.).</v>
      </c>
    </row>
    <row r="18" spans="3:4" ht="45" x14ac:dyDescent="0.25">
      <c r="C18" s="41" t="str">
        <f>Tables!BW58</f>
        <v>Automatic Daylight Controls in the Reference Space.</v>
      </c>
      <c r="D18" s="55" t="str">
        <f>Tables!CF20</f>
        <v>This field indicates whether automatic daylight controls are required in the reference space. No user input required.</v>
      </c>
    </row>
    <row r="19" spans="3:4" ht="36" customHeight="1" x14ac:dyDescent="0.25">
      <c r="C19" s="56" t="str">
        <f>Tables!BW59</f>
        <v>Luminous Transmittance of the Glazing</v>
      </c>
      <c r="D19" s="55" t="str">
        <f>Tables!CF21</f>
        <v>Effective luminous transmittance of the glazing providing daylighting, as specified in Article 4.3.2.8 of the NECB.</v>
      </c>
    </row>
    <row r="20" spans="3:4" ht="48.6" customHeight="1" x14ac:dyDescent="0.25">
      <c r="C20" s="41" t="str">
        <f>Tables!BW60</f>
        <v>Framing Factor</v>
      </c>
      <c r="D20" s="55" t="str">
        <f>Tables!CF22</f>
        <v>The framing factor is defined as the ratio of glazed area to overall area of the opening including area of framing. For toplighting only, if this factor is unknown it can be set to 0.7. See Articles 4.3.2.8  and 4.3.2.9 of the NECB.</v>
      </c>
    </row>
    <row r="21" spans="3:4" ht="30" x14ac:dyDescent="0.25">
      <c r="C21" s="41" t="str">
        <f>Tables!BW61</f>
        <v>Dirt Accumulation Factor</v>
      </c>
      <c r="D21" s="55" t="str">
        <f>Tables!CF23</f>
        <v>This factor accounts for dirt accumulation on fenestration. If unknown, this factor is to be set to 0.8 for sidelighting and 0.9 for toplighting. See Articles 4.3.2.8  and 4.3.2.9 of the NECB.</v>
      </c>
    </row>
    <row r="22" spans="3:4" ht="30" x14ac:dyDescent="0.25">
      <c r="C22" s="41" t="str">
        <f>Tables!BW62</f>
        <v>Non-Perpendicular Light Incidence Factor</v>
      </c>
      <c r="D22" s="55" t="str">
        <f>Tables!CF24</f>
        <v>This factor accounts for non-perpendicular light incidence. If unknown, this factor is to be set to 0.85. See Articles 4.3.2.8  and 4.3.2.9 of the NECB.</v>
      </c>
    </row>
    <row r="23" spans="3:4" ht="30" x14ac:dyDescent="0.25">
      <c r="C23" s="41" t="str">
        <f>Tables!BW63</f>
        <v>Angle to Top Horizontal Obstruction</v>
      </c>
      <c r="D23" s="55" t="str">
        <f>Tables!CF25</f>
        <v>Angle from the centre of the fenestration to the top of the horizontal obstruction. Refer to Article 4.3.2.8 of the NECB.</v>
      </c>
    </row>
    <row r="24" spans="3:4" ht="45" x14ac:dyDescent="0.25">
      <c r="C24" s="41" t="str">
        <f>Tables!BW64</f>
        <v>Total Area of Rough Opening for Toplighting - m2</v>
      </c>
      <c r="D24" s="55" t="str">
        <f>Tables!CF26</f>
        <v>Enter the total area of rough opening for toplighting. Refer to Article 4.3.2.9 and Appendix A of the NECB.</v>
      </c>
    </row>
    <row r="25" spans="3:4" ht="33" customHeight="1" x14ac:dyDescent="0.25">
      <c r="C25" s="41" t="str">
        <f>Tables!BW65</f>
        <v>Height of the Space - m</v>
      </c>
      <c r="D25" s="55" t="str">
        <f>Tables!CF27</f>
        <v>Enter the length of the space having toplighting to allow calculating the room cavity ratio, RCR,  as defined in Article 4.3.2.9 of the NECB.</v>
      </c>
    </row>
    <row r="26" spans="3:4" ht="28.15" customHeight="1" x14ac:dyDescent="0.25">
      <c r="C26" s="41" t="str">
        <f>Tables!BW66</f>
        <v>Length of the Space - m</v>
      </c>
      <c r="D26" s="55" t="str">
        <f>Tables!CF28</f>
        <v>Enter the height of the space having toplighting to allow calculating the room cavity ratio, RCR,  as defined in Article 4.3.2.9 of the NECB.</v>
      </c>
    </row>
    <row r="27" spans="3:4" ht="34.15" customHeight="1" x14ac:dyDescent="0.25">
      <c r="C27" s="41" t="str">
        <f>Tables!BW67</f>
        <v>Width of the Space - m</v>
      </c>
      <c r="D27" s="55" t="str">
        <f>Tables!CF29</f>
        <v>Enter the width of the space having toplighting to allow calculating the room cavity ratio, RCR,  as defined in Article 4.3.2.9 of the NECB.</v>
      </c>
    </row>
    <row r="28" spans="3:4" ht="52.15" customHeight="1" x14ac:dyDescent="0.25">
      <c r="C28" s="41" t="str">
        <f>Tables!BW68</f>
        <v>IILE</v>
      </c>
      <c r="D28" s="55" t="str">
        <f>Tables!CF30</f>
        <v>The Installed Interior Lighting Energy, which is the total annual energy consumption of interior lighting in the spaces of the Proposed Building. The IILE must be equal or lower to the ILEA for a building to be compliant to section 4.3 of the NECB.</v>
      </c>
    </row>
    <row r="29" spans="3:4" ht="59.45" customHeight="1" x14ac:dyDescent="0.25">
      <c r="C29" s="41" t="str">
        <f>Tables!BW69</f>
        <v>ILEA</v>
      </c>
      <c r="D29" s="55" t="str">
        <f>Tables!CF31</f>
        <v>The Interior Lighting Energy Allowance is the maximum allowed annual energy consumption of all interior lighting complying with the prescriptive lighting power densities determined using the space-by-space method in Article 4.2.1.6 and with the prescriptive lighting controls of Subsection 4.2.2 of the NECB.</v>
      </c>
    </row>
    <row r="30" spans="3:4" ht="59.45" customHeight="1" x14ac:dyDescent="0.25">
      <c r="C30" s="75" t="str">
        <f>Tables!BW70</f>
        <v>Personal Control</v>
      </c>
      <c r="D30" s="76" t="str">
        <f>Tables!CF32</f>
        <v>Indicate whether the space is provided with personal controls. This field is required to determine the factor for personal control in the proposed building. Refer to Article 4.3.2.10. of the NECB.</v>
      </c>
    </row>
    <row r="31" spans="3:4" ht="59.45" customHeight="1" x14ac:dyDescent="0.25">
      <c r="C31" s="75" t="str">
        <f>Tables!BW71</f>
        <v>Sidelighting Effective Aperture (%)</v>
      </c>
      <c r="D31" s="76" t="str">
        <f>Tables!CF33</f>
        <v>Enter the sidelighting effective aperture calculated according to 4.2.2.10. of the NECB.</v>
      </c>
    </row>
    <row r="32" spans="3:4" ht="52.15" customHeight="1" x14ac:dyDescent="0.25">
      <c r="C32" s="75" t="str">
        <f>Tables!BW73</f>
        <v>Skylight Effective Aperture (%)</v>
      </c>
      <c r="D32" s="76" t="str">
        <f>Tables!CF34</f>
        <v>Enter the skylight effective aperture calculated according to 4.2.2.7.(1). of the NECB.</v>
      </c>
    </row>
    <row r="33" spans="1:6" ht="52.15" customHeight="1" x14ac:dyDescent="0.25">
      <c r="C33" s="75" t="str">
        <f>Tables!BW74</f>
        <v>Is the building located above the 55N latitude?</v>
      </c>
      <c r="D33" s="76" t="str">
        <f>Tables!CF35</f>
        <v xml:space="preserve">This field is required to determine whether there are multi-level photocontrols in the reference building. Refer to Article 4.2.2.4. of the NECB. </v>
      </c>
    </row>
    <row r="34" spans="1:6" s="78" customFormat="1" ht="63.75" customHeight="1" x14ac:dyDescent="0.25">
      <c r="A34" s="79"/>
      <c r="B34" s="80"/>
      <c r="C34" s="75" t="str">
        <f>Tables!BW75</f>
        <v>Is the exemption described in Clause 4.2.2.4.(2)(a) applicable?</v>
      </c>
      <c r="D34" s="76" t="str">
        <f>Tables!CF36</f>
        <v xml:space="preserve">This field is required to determine whether there are multi-level photocontrols in the reference building. Refer to Article 4.2.2.4. of the NECB. </v>
      </c>
      <c r="E34" s="82"/>
      <c r="F34" s="81"/>
    </row>
    <row r="35" spans="1:6" ht="52.15" customHeight="1" x14ac:dyDescent="0.25"/>
    <row r="36" spans="1:6" x14ac:dyDescent="0.25"/>
    <row r="37" spans="1:6" x14ac:dyDescent="0.25"/>
    <row r="38" spans="1:6" x14ac:dyDescent="0.25"/>
    <row r="39" spans="1:6" x14ac:dyDescent="0.25"/>
  </sheetData>
  <sheetProtection password="CC3D" sheet="1" objects="1" scenarios="1"/>
  <hyperlinks>
    <hyperlink ref="C19" location="Glazings_Vitrage!A1" display="Glazings_Vitrage!A1" xr:uid="{00000000-0004-0000-0200-000000000000}"/>
  </hyperlink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440"/>
  <sheetViews>
    <sheetView zoomScale="55" zoomScaleNormal="55" workbookViewId="0">
      <selection activeCell="A34" sqref="A34"/>
    </sheetView>
  </sheetViews>
  <sheetFormatPr defaultColWidth="0" defaultRowHeight="15" zeroHeight="1" x14ac:dyDescent="0.25"/>
  <cols>
    <col min="1" max="1" width="82.5703125" customWidth="1"/>
    <col min="2" max="2" width="25" customWidth="1"/>
    <col min="3" max="3" width="20.28515625" customWidth="1"/>
    <col min="4" max="4" width="16.85546875" customWidth="1"/>
    <col min="5" max="5" width="19.5703125" customWidth="1"/>
    <col min="6" max="16384" width="8.85546875" hidden="1"/>
  </cols>
  <sheetData>
    <row r="1" spans="1:5" ht="67.5" customHeight="1" x14ac:dyDescent="0.25">
      <c r="A1" s="100" t="str">
        <f>IF(Select_Lang="English", Tables!C71,Tables!H71)</f>
        <v>Type of glazing</v>
      </c>
      <c r="B1" s="102" t="str">
        <f>IF(Select_Lang="English", Tables!D71,Tables!I71)</f>
        <v>Gap Thickness</v>
      </c>
      <c r="C1" s="102" t="str">
        <f>IF(Select_Lang="English", Tables!E71,Tables!J71)</f>
        <v>Gap Thickness</v>
      </c>
      <c r="D1" s="102" t="str">
        <f>IF(Select_Lang="English", Tables!F71,Tables!K71)</f>
        <v>Gap Gas Fill</v>
      </c>
      <c r="E1" s="102" t="str">
        <f>IF(Select_Lang="English", Tables!G71,Tables!L71)</f>
        <v>Luminous transmittance of the glazing</v>
      </c>
    </row>
    <row r="2" spans="1:5" x14ac:dyDescent="0.25">
      <c r="A2" s="101" t="str">
        <f>IF(Select_Lang="English", Tables!C72,Tables!H72)</f>
        <v>Single Clear</v>
      </c>
      <c r="B2" s="98" t="s">
        <v>497</v>
      </c>
      <c r="C2" s="98" t="str">
        <f>IF(B2="n/a", "n/a", CONVERT(B2,"in","m")*1000)</f>
        <v>n/a</v>
      </c>
      <c r="D2" s="98" t="s">
        <v>497</v>
      </c>
      <c r="E2" s="99">
        <v>0.9</v>
      </c>
    </row>
    <row r="3" spans="1:5" x14ac:dyDescent="0.25">
      <c r="A3" s="101" t="str">
        <f>IF(Select_Lang="English", Tables!C73,Tables!H73)</f>
        <v>Single Clear</v>
      </c>
      <c r="B3" s="98" t="s">
        <v>497</v>
      </c>
      <c r="C3" s="98" t="str">
        <f t="shared" ref="C3:C66" si="0">IF(B3="n/a", "n/a", CONVERT(B3,"in","m")*1000)</f>
        <v>n/a</v>
      </c>
      <c r="D3" s="98" t="s">
        <v>497</v>
      </c>
      <c r="E3" s="99">
        <v>0.88</v>
      </c>
    </row>
    <row r="4" spans="1:5" x14ac:dyDescent="0.25">
      <c r="A4" s="101" t="str">
        <f>IF(Select_Lang="English", Tables!C74,Tables!H74)</f>
        <v>Single Low Iron</v>
      </c>
      <c r="B4" s="98" t="s">
        <v>497</v>
      </c>
      <c r="C4" s="98" t="str">
        <f t="shared" si="0"/>
        <v>n/a</v>
      </c>
      <c r="D4" s="98" t="s">
        <v>497</v>
      </c>
      <c r="E4" s="99">
        <v>0.91</v>
      </c>
    </row>
    <row r="5" spans="1:5" x14ac:dyDescent="0.25">
      <c r="A5" s="101" t="str">
        <f>IF(Select_Lang="English", Tables!C75,Tables!H75)</f>
        <v>Single Low Iron</v>
      </c>
      <c r="B5" s="98" t="s">
        <v>497</v>
      </c>
      <c r="C5" s="98" t="str">
        <f t="shared" si="0"/>
        <v>n/a</v>
      </c>
      <c r="D5" s="98" t="s">
        <v>497</v>
      </c>
      <c r="E5" s="99">
        <v>0.91</v>
      </c>
    </row>
    <row r="6" spans="1:5" x14ac:dyDescent="0.25">
      <c r="A6" s="101" t="str">
        <f>IF(Select_Lang="English", Tables!C76,Tables!H76)</f>
        <v>Single Tint Bronze</v>
      </c>
      <c r="B6" s="98" t="s">
        <v>497</v>
      </c>
      <c r="C6" s="98" t="str">
        <f t="shared" si="0"/>
        <v>n/a</v>
      </c>
      <c r="D6" s="98" t="s">
        <v>497</v>
      </c>
      <c r="E6" s="99">
        <v>0.69</v>
      </c>
    </row>
    <row r="7" spans="1:5" x14ac:dyDescent="0.25">
      <c r="A7" s="101" t="str">
        <f>IF(Select_Lang="English", Tables!C77,Tables!H77)</f>
        <v>Single Tint Bronze</v>
      </c>
      <c r="B7" s="98" t="s">
        <v>497</v>
      </c>
      <c r="C7" s="98" t="str">
        <f t="shared" si="0"/>
        <v>n/a</v>
      </c>
      <c r="D7" s="98" t="s">
        <v>497</v>
      </c>
      <c r="E7" s="99">
        <v>0.53</v>
      </c>
    </row>
    <row r="8" spans="1:5" x14ac:dyDescent="0.25">
      <c r="A8" s="101" t="str">
        <f>IF(Select_Lang="English", Tables!C78,Tables!H78)</f>
        <v>Single Tint Green</v>
      </c>
      <c r="B8" s="98" t="s">
        <v>497</v>
      </c>
      <c r="C8" s="98" t="str">
        <f t="shared" si="0"/>
        <v>n/a</v>
      </c>
      <c r="D8" s="98" t="s">
        <v>497</v>
      </c>
      <c r="E8" s="99">
        <v>0.82</v>
      </c>
    </row>
    <row r="9" spans="1:5" x14ac:dyDescent="0.25">
      <c r="A9" s="101" t="str">
        <f>IF(Select_Lang="English", Tables!C79,Tables!H79)</f>
        <v>Single Tint Green</v>
      </c>
      <c r="B9" s="98" t="s">
        <v>497</v>
      </c>
      <c r="C9" s="98" t="str">
        <f t="shared" si="0"/>
        <v>n/a</v>
      </c>
      <c r="D9" s="98" t="s">
        <v>497</v>
      </c>
      <c r="E9" s="99">
        <v>0.75</v>
      </c>
    </row>
    <row r="10" spans="1:5" x14ac:dyDescent="0.25">
      <c r="A10" s="101" t="str">
        <f>IF(Select_Lang="English", Tables!C80,Tables!H80)</f>
        <v>Single Tint Grey</v>
      </c>
      <c r="B10" s="98" t="s">
        <v>497</v>
      </c>
      <c r="C10" s="98" t="str">
        <f t="shared" si="0"/>
        <v>n/a</v>
      </c>
      <c r="D10" s="98" t="s">
        <v>497</v>
      </c>
      <c r="E10" s="99">
        <v>0.61</v>
      </c>
    </row>
    <row r="11" spans="1:5" x14ac:dyDescent="0.25">
      <c r="A11" s="101" t="str">
        <f>IF(Select_Lang="English", Tables!C81,Tables!H81)</f>
        <v>Single Tint Grey</v>
      </c>
      <c r="B11" s="98" t="s">
        <v>497</v>
      </c>
      <c r="C11" s="98" t="str">
        <f t="shared" si="0"/>
        <v>n/a</v>
      </c>
      <c r="D11" s="98" t="s">
        <v>497</v>
      </c>
      <c r="E11" s="99">
        <v>0.43</v>
      </c>
    </row>
    <row r="12" spans="1:5" x14ac:dyDescent="0.25">
      <c r="A12" s="101" t="str">
        <f>IF(Select_Lang="English", Tables!C82,Tables!H82)</f>
        <v>Single Tint Blue</v>
      </c>
      <c r="B12" s="98" t="s">
        <v>497</v>
      </c>
      <c r="C12" s="98" t="str">
        <f t="shared" si="0"/>
        <v>n/a</v>
      </c>
      <c r="D12" s="98" t="s">
        <v>497</v>
      </c>
      <c r="E12" s="99">
        <v>0.56999999999999995</v>
      </c>
    </row>
    <row r="13" spans="1:5" x14ac:dyDescent="0.25">
      <c r="A13" s="101" t="str">
        <f>IF(Select_Lang="English", Tables!C83,Tables!H83)</f>
        <v>Single Low-E Clear (e2=.4)</v>
      </c>
      <c r="B13" s="98" t="s">
        <v>497</v>
      </c>
      <c r="C13" s="98" t="str">
        <f t="shared" si="0"/>
        <v>n/a</v>
      </c>
      <c r="D13" s="98" t="s">
        <v>497</v>
      </c>
      <c r="E13" s="99">
        <v>0.85</v>
      </c>
    </row>
    <row r="14" spans="1:5" x14ac:dyDescent="0.25">
      <c r="A14" s="101" t="str">
        <f>IF(Select_Lang="English", Tables!C84,Tables!H84)</f>
        <v>Single Low-E Clear (e2=.2)</v>
      </c>
      <c r="B14" s="98" t="s">
        <v>497</v>
      </c>
      <c r="C14" s="98" t="str">
        <f t="shared" si="0"/>
        <v>n/a</v>
      </c>
      <c r="D14" s="98" t="s">
        <v>497</v>
      </c>
      <c r="E14" s="99">
        <v>0.82</v>
      </c>
    </row>
    <row r="15" spans="1:5" x14ac:dyDescent="0.25">
      <c r="A15" s="101" t="str">
        <f>IF(Select_Lang="English", Tables!C85,Tables!H85)</f>
        <v>Single Low-E Clear (e2=.2)</v>
      </c>
      <c r="B15" s="98" t="s">
        <v>497</v>
      </c>
      <c r="C15" s="98" t="str">
        <f t="shared" si="0"/>
        <v>n/a</v>
      </c>
      <c r="D15" s="98" t="s">
        <v>497</v>
      </c>
      <c r="E15" s="99">
        <v>0.81</v>
      </c>
    </row>
    <row r="16" spans="1:5" x14ac:dyDescent="0.25">
      <c r="A16" s="101" t="str">
        <f>IF(Select_Lang="English", Tables!C86,Tables!H86)</f>
        <v>Single Electrochromic Absorbing Bleached/Colored</v>
      </c>
      <c r="B16" s="98" t="s">
        <v>497</v>
      </c>
      <c r="C16" s="98" t="str">
        <f t="shared" si="0"/>
        <v>n/a</v>
      </c>
      <c r="D16" s="98" t="s">
        <v>497</v>
      </c>
      <c r="E16" s="99">
        <v>0.85</v>
      </c>
    </row>
    <row r="17" spans="1:5" x14ac:dyDescent="0.25">
      <c r="A17" s="101" t="str">
        <f>IF(Select_Lang="English", Tables!C87,Tables!H87)</f>
        <v>Single Electrochromic Absorbing Bleached/Colored</v>
      </c>
      <c r="B17" s="98" t="s">
        <v>497</v>
      </c>
      <c r="C17" s="98" t="str">
        <f t="shared" si="0"/>
        <v>n/a</v>
      </c>
      <c r="D17" s="98" t="s">
        <v>497</v>
      </c>
      <c r="E17" s="99">
        <v>0.13</v>
      </c>
    </row>
    <row r="18" spans="1:5" x14ac:dyDescent="0.25">
      <c r="A18" s="101" t="str">
        <f>IF(Select_Lang="English", Tables!C88,Tables!H88)</f>
        <v>Single Electrochromic Reflecting Bleached/Colored</v>
      </c>
      <c r="B18" s="98" t="s">
        <v>497</v>
      </c>
      <c r="C18" s="98" t="str">
        <f t="shared" si="0"/>
        <v>n/a</v>
      </c>
      <c r="D18" s="98" t="s">
        <v>497</v>
      </c>
      <c r="E18" s="99">
        <v>0.82</v>
      </c>
    </row>
    <row r="19" spans="1:5" x14ac:dyDescent="0.25">
      <c r="A19" s="101" t="str">
        <f>IF(Select_Lang="English", Tables!C89,Tables!H89)</f>
        <v>Single Electrochromic Reflecting Bleached/Colored</v>
      </c>
      <c r="B19" s="98" t="s">
        <v>497</v>
      </c>
      <c r="C19" s="98" t="str">
        <f t="shared" si="0"/>
        <v>n/a</v>
      </c>
      <c r="D19" s="98" t="s">
        <v>497</v>
      </c>
      <c r="E19" s="99">
        <v>0.16</v>
      </c>
    </row>
    <row r="20" spans="1:5" x14ac:dyDescent="0.25">
      <c r="A20" s="101" t="str">
        <f>IF(Select_Lang="English", Tables!C90,Tables!H90)</f>
        <v>Double Clear</v>
      </c>
      <c r="B20" s="99">
        <v>0.24803149606299213</v>
      </c>
      <c r="C20" s="98">
        <f t="shared" si="0"/>
        <v>6.3</v>
      </c>
      <c r="D20" s="98" t="s">
        <v>498</v>
      </c>
      <c r="E20" s="99">
        <v>0.81</v>
      </c>
    </row>
    <row r="21" spans="1:5" x14ac:dyDescent="0.25">
      <c r="A21" s="101" t="str">
        <f>IF(Select_Lang="English", Tables!C91,Tables!H91)</f>
        <v>Double Clear</v>
      </c>
      <c r="B21" s="99">
        <v>0.5</v>
      </c>
      <c r="C21" s="98">
        <f t="shared" si="0"/>
        <v>12.7</v>
      </c>
      <c r="D21" s="98" t="s">
        <v>498</v>
      </c>
      <c r="E21" s="99">
        <v>0.81</v>
      </c>
    </row>
    <row r="22" spans="1:5" x14ac:dyDescent="0.25">
      <c r="A22" s="101" t="str">
        <f>IF(Select_Lang="English", Tables!C92,Tables!H92)</f>
        <v>Double Clear</v>
      </c>
      <c r="B22" s="99">
        <v>0.5</v>
      </c>
      <c r="C22" s="98">
        <f t="shared" si="0"/>
        <v>12.7</v>
      </c>
      <c r="D22" s="98" t="s">
        <v>499</v>
      </c>
      <c r="E22" s="99">
        <v>0.81</v>
      </c>
    </row>
    <row r="23" spans="1:5" x14ac:dyDescent="0.25">
      <c r="A23" s="101" t="str">
        <f>IF(Select_Lang="English", Tables!C93,Tables!H93)</f>
        <v>Double Clear</v>
      </c>
      <c r="B23" s="99">
        <v>0.24803149606299213</v>
      </c>
      <c r="C23" s="98">
        <f t="shared" si="0"/>
        <v>6.3</v>
      </c>
      <c r="D23" s="98" t="s">
        <v>498</v>
      </c>
      <c r="E23" s="99">
        <v>0.78</v>
      </c>
    </row>
    <row r="24" spans="1:5" x14ac:dyDescent="0.25">
      <c r="A24" s="101" t="str">
        <f>IF(Select_Lang="English", Tables!C94,Tables!H94)</f>
        <v>Double Clear</v>
      </c>
      <c r="B24" s="99">
        <v>0.5</v>
      </c>
      <c r="C24" s="98">
        <f t="shared" si="0"/>
        <v>12.7</v>
      </c>
      <c r="D24" s="98" t="s">
        <v>498</v>
      </c>
      <c r="E24" s="99">
        <v>0.78</v>
      </c>
    </row>
    <row r="25" spans="1:5" x14ac:dyDescent="0.25">
      <c r="A25" s="101" t="str">
        <f>IF(Select_Lang="English", Tables!C95,Tables!H95)</f>
        <v>Double Clear</v>
      </c>
      <c r="B25" s="99">
        <v>0.5</v>
      </c>
      <c r="C25" s="98">
        <f t="shared" si="0"/>
        <v>12.7</v>
      </c>
      <c r="D25" s="98" t="s">
        <v>499</v>
      </c>
      <c r="E25" s="99">
        <v>0.78</v>
      </c>
    </row>
    <row r="26" spans="1:5" x14ac:dyDescent="0.25">
      <c r="A26" s="101" t="str">
        <f>IF(Select_Lang="English", Tables!C96,Tables!H96)</f>
        <v>Double Low Iron</v>
      </c>
      <c r="B26" s="99">
        <v>0.24803149606299213</v>
      </c>
      <c r="C26" s="98">
        <f t="shared" si="0"/>
        <v>6.3</v>
      </c>
      <c r="D26" s="98" t="s">
        <v>498</v>
      </c>
      <c r="E26" s="99">
        <v>0.84</v>
      </c>
    </row>
    <row r="27" spans="1:5" x14ac:dyDescent="0.25">
      <c r="A27" s="101" t="str">
        <f>IF(Select_Lang="English", Tables!C97,Tables!H97)</f>
        <v>Double Low Iron</v>
      </c>
      <c r="B27" s="99">
        <v>0.5</v>
      </c>
      <c r="C27" s="98">
        <f t="shared" si="0"/>
        <v>12.7</v>
      </c>
      <c r="D27" s="98" t="s">
        <v>498</v>
      </c>
      <c r="E27" s="99">
        <v>0.84</v>
      </c>
    </row>
    <row r="28" spans="1:5" x14ac:dyDescent="0.25">
      <c r="A28" s="101" t="str">
        <f>IF(Select_Lang="English", Tables!C98,Tables!H98)</f>
        <v>Double Low Iron</v>
      </c>
      <c r="B28" s="99">
        <v>0.5</v>
      </c>
      <c r="C28" s="98">
        <f t="shared" si="0"/>
        <v>12.7</v>
      </c>
      <c r="D28" s="98" t="s">
        <v>499</v>
      </c>
      <c r="E28" s="99">
        <v>0.84</v>
      </c>
    </row>
    <row r="29" spans="1:5" x14ac:dyDescent="0.25">
      <c r="A29" s="101" t="str">
        <f>IF(Select_Lang="English", Tables!C99,Tables!H99)</f>
        <v>Double Low Iron</v>
      </c>
      <c r="B29" s="99">
        <v>0.24803149606299213</v>
      </c>
      <c r="C29" s="98">
        <f t="shared" si="0"/>
        <v>6.3</v>
      </c>
      <c r="D29" s="98" t="s">
        <v>498</v>
      </c>
      <c r="E29" s="99">
        <v>0.83</v>
      </c>
    </row>
    <row r="30" spans="1:5" x14ac:dyDescent="0.25">
      <c r="A30" s="101" t="str">
        <f>IF(Select_Lang="English", Tables!C100,Tables!H100)</f>
        <v>Double Low Iron</v>
      </c>
      <c r="B30" s="99">
        <v>0.5</v>
      </c>
      <c r="C30" s="98">
        <f t="shared" si="0"/>
        <v>12.7</v>
      </c>
      <c r="D30" s="98" t="s">
        <v>498</v>
      </c>
      <c r="E30" s="99">
        <v>0.83</v>
      </c>
    </row>
    <row r="31" spans="1:5" x14ac:dyDescent="0.25">
      <c r="A31" s="101" t="str">
        <f>IF(Select_Lang="English", Tables!C101,Tables!H101)</f>
        <v>Double Low Iron</v>
      </c>
      <c r="B31" s="99">
        <v>0.5</v>
      </c>
      <c r="C31" s="98">
        <f t="shared" si="0"/>
        <v>12.7</v>
      </c>
      <c r="D31" s="98" t="s">
        <v>499</v>
      </c>
      <c r="E31" s="99">
        <v>0.83</v>
      </c>
    </row>
    <row r="32" spans="1:5" x14ac:dyDescent="0.25">
      <c r="A32" s="101" t="str">
        <f>IF(Select_Lang="English", Tables!C102,Tables!H102)</f>
        <v>Double Tint Bronze</v>
      </c>
      <c r="B32" s="99">
        <v>0.24803149606299213</v>
      </c>
      <c r="C32" s="98">
        <f t="shared" si="0"/>
        <v>6.3</v>
      </c>
      <c r="D32" s="98" t="s">
        <v>498</v>
      </c>
      <c r="E32" s="99">
        <v>0.62</v>
      </c>
    </row>
    <row r="33" spans="1:5" x14ac:dyDescent="0.25">
      <c r="A33" s="101" t="str">
        <f>IF(Select_Lang="English", Tables!C103,Tables!H103)</f>
        <v>Double Tint Bronze</v>
      </c>
      <c r="B33" s="99">
        <v>0.5</v>
      </c>
      <c r="C33" s="98">
        <f t="shared" si="0"/>
        <v>12.7</v>
      </c>
      <c r="D33" s="98" t="s">
        <v>498</v>
      </c>
      <c r="E33" s="99">
        <v>0.62</v>
      </c>
    </row>
    <row r="34" spans="1:5" x14ac:dyDescent="0.25">
      <c r="A34" s="101" t="str">
        <f>IF(Select_Lang="English", Tables!C104,Tables!H104)</f>
        <v>Double Tint Bronze</v>
      </c>
      <c r="B34" s="99">
        <v>0.5</v>
      </c>
      <c r="C34" s="98">
        <f t="shared" si="0"/>
        <v>12.7</v>
      </c>
      <c r="D34" s="98" t="s">
        <v>499</v>
      </c>
      <c r="E34" s="99">
        <v>0.62</v>
      </c>
    </row>
    <row r="35" spans="1:5" x14ac:dyDescent="0.25">
      <c r="A35" s="101" t="str">
        <f>IF(Select_Lang="English", Tables!C105,Tables!H105)</f>
        <v>Double Tint Bronze</v>
      </c>
      <c r="B35" s="99">
        <v>0.24803149606299213</v>
      </c>
      <c r="C35" s="98">
        <f t="shared" si="0"/>
        <v>6.3</v>
      </c>
      <c r="D35" s="98" t="s">
        <v>498</v>
      </c>
      <c r="E35" s="99">
        <v>0.47</v>
      </c>
    </row>
    <row r="36" spans="1:5" x14ac:dyDescent="0.25">
      <c r="A36" s="101" t="str">
        <f>IF(Select_Lang="English", Tables!C106,Tables!H106)</f>
        <v>Double Tint Bronze</v>
      </c>
      <c r="B36" s="99">
        <v>0.5</v>
      </c>
      <c r="C36" s="98">
        <f t="shared" si="0"/>
        <v>12.7</v>
      </c>
      <c r="D36" s="98" t="s">
        <v>498</v>
      </c>
      <c r="E36" s="99">
        <v>0.47</v>
      </c>
    </row>
    <row r="37" spans="1:5" x14ac:dyDescent="0.25">
      <c r="A37" s="101" t="str">
        <f>IF(Select_Lang="English", Tables!C107,Tables!H107)</f>
        <v>Double Tint Bronze</v>
      </c>
      <c r="B37" s="99">
        <v>0.5</v>
      </c>
      <c r="C37" s="98">
        <f t="shared" si="0"/>
        <v>12.7</v>
      </c>
      <c r="D37" s="98" t="s">
        <v>499</v>
      </c>
      <c r="E37" s="99">
        <v>0.47</v>
      </c>
    </row>
    <row r="38" spans="1:5" x14ac:dyDescent="0.25">
      <c r="A38" s="101" t="str">
        <f>IF(Select_Lang="English", Tables!C108,Tables!H108)</f>
        <v>Double Tint Green</v>
      </c>
      <c r="B38" s="99">
        <v>0.24803149606299213</v>
      </c>
      <c r="C38" s="98">
        <f t="shared" si="0"/>
        <v>6.3</v>
      </c>
      <c r="D38" s="98" t="s">
        <v>498</v>
      </c>
      <c r="E38" s="99">
        <v>0.74</v>
      </c>
    </row>
    <row r="39" spans="1:5" x14ac:dyDescent="0.25">
      <c r="A39" s="101" t="str">
        <f>IF(Select_Lang="English", Tables!C109,Tables!H109)</f>
        <v>Double Tint Green</v>
      </c>
      <c r="B39" s="99">
        <v>0.5</v>
      </c>
      <c r="C39" s="98">
        <f t="shared" si="0"/>
        <v>12.7</v>
      </c>
      <c r="D39" s="98" t="s">
        <v>498</v>
      </c>
      <c r="E39" s="99">
        <v>0.74</v>
      </c>
    </row>
    <row r="40" spans="1:5" x14ac:dyDescent="0.25">
      <c r="A40" s="101" t="str">
        <f>IF(Select_Lang="English", Tables!C110,Tables!H110)</f>
        <v>Double Tint Green</v>
      </c>
      <c r="B40" s="99">
        <v>0.5</v>
      </c>
      <c r="C40" s="98">
        <f t="shared" si="0"/>
        <v>12.7</v>
      </c>
      <c r="D40" s="98" t="s">
        <v>499</v>
      </c>
      <c r="E40" s="99">
        <v>0.74</v>
      </c>
    </row>
    <row r="41" spans="1:5" x14ac:dyDescent="0.25">
      <c r="A41" s="101" t="str">
        <f>IF(Select_Lang="English", Tables!C111,Tables!H111)</f>
        <v>Double Tint Green</v>
      </c>
      <c r="B41" s="99">
        <v>0.24803149606299213</v>
      </c>
      <c r="C41" s="98">
        <f t="shared" si="0"/>
        <v>6.3</v>
      </c>
      <c r="D41" s="98" t="s">
        <v>498</v>
      </c>
      <c r="E41" s="99">
        <v>0.66</v>
      </c>
    </row>
    <row r="42" spans="1:5" x14ac:dyDescent="0.25">
      <c r="A42" s="101" t="str">
        <f>IF(Select_Lang="English", Tables!C112,Tables!H112)</f>
        <v>Double Tint Green</v>
      </c>
      <c r="B42" s="99">
        <v>0.5</v>
      </c>
      <c r="C42" s="98">
        <f t="shared" si="0"/>
        <v>12.7</v>
      </c>
      <c r="D42" s="98" t="s">
        <v>498</v>
      </c>
      <c r="E42" s="99">
        <v>0.66</v>
      </c>
    </row>
    <row r="43" spans="1:5" x14ac:dyDescent="0.25">
      <c r="A43" s="101" t="str">
        <f>IF(Select_Lang="English", Tables!C113,Tables!H113)</f>
        <v>Double Tint Green</v>
      </c>
      <c r="B43" s="99">
        <v>0.5</v>
      </c>
      <c r="C43" s="98">
        <f t="shared" si="0"/>
        <v>12.7</v>
      </c>
      <c r="D43" s="98" t="s">
        <v>499</v>
      </c>
      <c r="E43" s="99">
        <v>0.66</v>
      </c>
    </row>
    <row r="44" spans="1:5" x14ac:dyDescent="0.25">
      <c r="A44" s="101" t="str">
        <f>IF(Select_Lang="English", Tables!C114,Tables!H114)</f>
        <v>Double Tint Grey</v>
      </c>
      <c r="B44" s="99">
        <v>0.24803149606299213</v>
      </c>
      <c r="C44" s="98">
        <f t="shared" si="0"/>
        <v>6.3</v>
      </c>
      <c r="D44" s="98" t="s">
        <v>498</v>
      </c>
      <c r="E44" s="99">
        <v>0.55000000000000004</v>
      </c>
    </row>
    <row r="45" spans="1:5" x14ac:dyDescent="0.25">
      <c r="A45" s="101" t="str">
        <f>IF(Select_Lang="English", Tables!C115,Tables!H115)</f>
        <v>Double Tint Grey</v>
      </c>
      <c r="B45" s="99">
        <v>0.5</v>
      </c>
      <c r="C45" s="98">
        <f t="shared" si="0"/>
        <v>12.7</v>
      </c>
      <c r="D45" s="98" t="s">
        <v>498</v>
      </c>
      <c r="E45" s="99">
        <v>0.55000000000000004</v>
      </c>
    </row>
    <row r="46" spans="1:5" x14ac:dyDescent="0.25">
      <c r="A46" s="101" t="str">
        <f>IF(Select_Lang="English", Tables!C116,Tables!H116)</f>
        <v>Double Tint Grey</v>
      </c>
      <c r="B46" s="99">
        <v>0.5</v>
      </c>
      <c r="C46" s="98">
        <f t="shared" si="0"/>
        <v>12.7</v>
      </c>
      <c r="D46" s="98" t="s">
        <v>499</v>
      </c>
      <c r="E46" s="99">
        <v>0.55000000000000004</v>
      </c>
    </row>
    <row r="47" spans="1:5" x14ac:dyDescent="0.25">
      <c r="A47" s="101" t="str">
        <f>IF(Select_Lang="English", Tables!C117,Tables!H117)</f>
        <v>Double Tint Grey</v>
      </c>
      <c r="B47" s="99">
        <v>0.24803149606299213</v>
      </c>
      <c r="C47" s="98">
        <f t="shared" si="0"/>
        <v>6.3</v>
      </c>
      <c r="D47" s="98" t="s">
        <v>498</v>
      </c>
      <c r="E47" s="99">
        <v>0.38</v>
      </c>
    </row>
    <row r="48" spans="1:5" x14ac:dyDescent="0.25">
      <c r="A48" s="101" t="str">
        <f>IF(Select_Lang="English", Tables!C118,Tables!H118)</f>
        <v>Double Tint Grey</v>
      </c>
      <c r="B48" s="99">
        <v>0.5</v>
      </c>
      <c r="C48" s="98">
        <f t="shared" si="0"/>
        <v>12.7</v>
      </c>
      <c r="D48" s="98" t="s">
        <v>498</v>
      </c>
      <c r="E48" s="99">
        <v>0.38</v>
      </c>
    </row>
    <row r="49" spans="1:5" x14ac:dyDescent="0.25">
      <c r="A49" s="101" t="str">
        <f>IF(Select_Lang="English", Tables!C119,Tables!H119)</f>
        <v>Double Tint Grey</v>
      </c>
      <c r="B49" s="99">
        <v>0.5</v>
      </c>
      <c r="C49" s="98">
        <f t="shared" si="0"/>
        <v>12.7</v>
      </c>
      <c r="D49" s="98" t="s">
        <v>499</v>
      </c>
      <c r="E49" s="99">
        <v>0.38</v>
      </c>
    </row>
    <row r="50" spans="1:5" x14ac:dyDescent="0.25">
      <c r="A50" s="101" t="str">
        <f>IF(Select_Lang="English", Tables!C120,Tables!H120)</f>
        <v>Double Tint Blue</v>
      </c>
      <c r="B50" s="99">
        <v>0.24803149606299213</v>
      </c>
      <c r="C50" s="98">
        <f t="shared" si="0"/>
        <v>6.3</v>
      </c>
      <c r="D50" s="98" t="s">
        <v>498</v>
      </c>
      <c r="E50" s="99">
        <v>0.5</v>
      </c>
    </row>
    <row r="51" spans="1:5" x14ac:dyDescent="0.25">
      <c r="A51" s="101" t="str">
        <f>IF(Select_Lang="English", Tables!C121,Tables!H121)</f>
        <v>Double Tint Blue</v>
      </c>
      <c r="B51" s="99">
        <v>0.5</v>
      </c>
      <c r="C51" s="98">
        <f t="shared" si="0"/>
        <v>12.7</v>
      </c>
      <c r="D51" s="98" t="s">
        <v>498</v>
      </c>
      <c r="E51" s="99">
        <v>0.5</v>
      </c>
    </row>
    <row r="52" spans="1:5" x14ac:dyDescent="0.25">
      <c r="A52" s="101" t="str">
        <f>IF(Select_Lang="English", Tables!C122,Tables!H122)</f>
        <v>Double Tint Blue</v>
      </c>
      <c r="B52" s="99">
        <v>0.5</v>
      </c>
      <c r="C52" s="98">
        <f t="shared" si="0"/>
        <v>12.7</v>
      </c>
      <c r="D52" s="98" t="s">
        <v>499</v>
      </c>
      <c r="E52" s="99">
        <v>0.5</v>
      </c>
    </row>
    <row r="53" spans="1:5" x14ac:dyDescent="0.25">
      <c r="A53" s="101" t="str">
        <f>IF(Select_Lang="English", Tables!C123,Tables!H123)</f>
        <v>Double Low-E (e3=.4) Clear</v>
      </c>
      <c r="B53" s="99">
        <v>0.24803149606299213</v>
      </c>
      <c r="C53" s="98">
        <f t="shared" si="0"/>
        <v>6.3</v>
      </c>
      <c r="D53" s="98" t="s">
        <v>498</v>
      </c>
      <c r="E53" s="99">
        <v>0.77</v>
      </c>
    </row>
    <row r="54" spans="1:5" x14ac:dyDescent="0.25">
      <c r="A54" s="101" t="str">
        <f>IF(Select_Lang="English", Tables!C124,Tables!H124)</f>
        <v>Double Low-E (e3=.4) Clear</v>
      </c>
      <c r="B54" s="99">
        <v>0.5</v>
      </c>
      <c r="C54" s="98">
        <f t="shared" si="0"/>
        <v>12.7</v>
      </c>
      <c r="D54" s="98" t="s">
        <v>498</v>
      </c>
      <c r="E54" s="99">
        <v>0.77</v>
      </c>
    </row>
    <row r="55" spans="1:5" x14ac:dyDescent="0.25">
      <c r="A55" s="101" t="str">
        <f>IF(Select_Lang="English", Tables!C125,Tables!H125)</f>
        <v>Double Low-E (e3=.4) Clear</v>
      </c>
      <c r="B55" s="99">
        <v>0.5</v>
      </c>
      <c r="C55" s="98">
        <f t="shared" si="0"/>
        <v>12.7</v>
      </c>
      <c r="D55" s="98" t="s">
        <v>499</v>
      </c>
      <c r="E55" s="99">
        <v>0.77</v>
      </c>
    </row>
    <row r="56" spans="1:5" x14ac:dyDescent="0.25">
      <c r="A56" s="101" t="str">
        <f>IF(Select_Lang="English", Tables!C126,Tables!H126)</f>
        <v>Double Low-E (e3=.2) Clear</v>
      </c>
      <c r="B56" s="99">
        <v>0.24803149606299213</v>
      </c>
      <c r="C56" s="98">
        <f t="shared" si="0"/>
        <v>6.3</v>
      </c>
      <c r="D56" s="98" t="s">
        <v>498</v>
      </c>
      <c r="E56" s="99">
        <v>0.74</v>
      </c>
    </row>
    <row r="57" spans="1:5" x14ac:dyDescent="0.25">
      <c r="A57" s="101" t="str">
        <f>IF(Select_Lang="English", Tables!C127,Tables!H127)</f>
        <v>Double Low-E (e3=.2) Clear</v>
      </c>
      <c r="B57" s="99">
        <v>0.5</v>
      </c>
      <c r="C57" s="98">
        <f t="shared" si="0"/>
        <v>12.7</v>
      </c>
      <c r="D57" s="98" t="s">
        <v>498</v>
      </c>
      <c r="E57" s="99">
        <v>0.74</v>
      </c>
    </row>
    <row r="58" spans="1:5" x14ac:dyDescent="0.25">
      <c r="A58" s="101" t="str">
        <f>IF(Select_Lang="English", Tables!C128,Tables!H128)</f>
        <v>Double Low-E (e3=.2) Clear</v>
      </c>
      <c r="B58" s="99">
        <v>0.5</v>
      </c>
      <c r="C58" s="98">
        <f t="shared" si="0"/>
        <v>12.7</v>
      </c>
      <c r="D58" s="98" t="s">
        <v>499</v>
      </c>
      <c r="E58" s="99">
        <v>0.74</v>
      </c>
    </row>
    <row r="59" spans="1:5" x14ac:dyDescent="0.25">
      <c r="A59" s="101" t="str">
        <f>IF(Select_Lang="English", Tables!C129,Tables!H129)</f>
        <v>Double Low-E (e3=.2) Clear</v>
      </c>
      <c r="B59" s="99">
        <v>0.24803149606299213</v>
      </c>
      <c r="C59" s="98">
        <f t="shared" si="0"/>
        <v>6.3</v>
      </c>
      <c r="D59" s="98" t="s">
        <v>498</v>
      </c>
      <c r="E59" s="99">
        <v>0.72</v>
      </c>
    </row>
    <row r="60" spans="1:5" x14ac:dyDescent="0.25">
      <c r="A60" s="101" t="str">
        <f>IF(Select_Lang="English", Tables!C130,Tables!H130)</f>
        <v>Double Low-E (e3=.2) Clear</v>
      </c>
      <c r="B60" s="99">
        <v>0.5</v>
      </c>
      <c r="C60" s="98">
        <f t="shared" si="0"/>
        <v>12.7</v>
      </c>
      <c r="D60" s="98" t="s">
        <v>498</v>
      </c>
      <c r="E60" s="99">
        <v>0.72</v>
      </c>
    </row>
    <row r="61" spans="1:5" x14ac:dyDescent="0.25">
      <c r="A61" s="101" t="str">
        <f>IF(Select_Lang="English", Tables!C131,Tables!H131)</f>
        <v>Double Low-E (e3=.2) Clear</v>
      </c>
      <c r="B61" s="99">
        <v>0.5</v>
      </c>
      <c r="C61" s="98">
        <f t="shared" si="0"/>
        <v>12.7</v>
      </c>
      <c r="D61" s="98" t="s">
        <v>499</v>
      </c>
      <c r="E61" s="99">
        <v>0.72</v>
      </c>
    </row>
    <row r="62" spans="1:5" x14ac:dyDescent="0.25">
      <c r="A62" s="101" t="str">
        <f>IF(Select_Lang="English", Tables!C132,Tables!H132)</f>
        <v>Double Low-E (e2=.1) Clear</v>
      </c>
      <c r="B62" s="99">
        <v>0.24803149606299213</v>
      </c>
      <c r="C62" s="98">
        <f t="shared" si="0"/>
        <v>6.3</v>
      </c>
      <c r="D62" s="98" t="s">
        <v>498</v>
      </c>
      <c r="E62" s="99">
        <v>0.77</v>
      </c>
    </row>
    <row r="63" spans="1:5" x14ac:dyDescent="0.25">
      <c r="A63" s="101" t="str">
        <f>IF(Select_Lang="English", Tables!C133,Tables!H133)</f>
        <v>Double Low-E (e2=.1) Clear</v>
      </c>
      <c r="B63" s="99">
        <v>0.5</v>
      </c>
      <c r="C63" s="98">
        <f t="shared" si="0"/>
        <v>12.7</v>
      </c>
      <c r="D63" s="98" t="s">
        <v>498</v>
      </c>
      <c r="E63" s="99">
        <v>0.77</v>
      </c>
    </row>
    <row r="64" spans="1:5" x14ac:dyDescent="0.25">
      <c r="A64" s="101" t="str">
        <f>IF(Select_Lang="English", Tables!C134,Tables!H134)</f>
        <v>Double Low-E (e2=.1) Clear</v>
      </c>
      <c r="B64" s="99">
        <v>0.5</v>
      </c>
      <c r="C64" s="98">
        <f t="shared" si="0"/>
        <v>12.7</v>
      </c>
      <c r="D64" s="98" t="s">
        <v>499</v>
      </c>
      <c r="E64" s="99">
        <v>0.77</v>
      </c>
    </row>
    <row r="65" spans="1:5" x14ac:dyDescent="0.25">
      <c r="A65" s="101" t="str">
        <f>IF(Select_Lang="English", Tables!C135,Tables!H135)</f>
        <v>Double Low-E (e2=.1) Clear</v>
      </c>
      <c r="B65" s="99">
        <v>0.24803149606299213</v>
      </c>
      <c r="C65" s="98">
        <f t="shared" si="0"/>
        <v>6.3</v>
      </c>
      <c r="D65" s="98" t="s">
        <v>498</v>
      </c>
      <c r="E65" s="99">
        <v>0.75</v>
      </c>
    </row>
    <row r="66" spans="1:5" x14ac:dyDescent="0.25">
      <c r="A66" s="101" t="str">
        <f>IF(Select_Lang="English", Tables!C136,Tables!H136)</f>
        <v>Double Low-E (e2=.1) Clear</v>
      </c>
      <c r="B66" s="99">
        <v>0.5</v>
      </c>
      <c r="C66" s="98">
        <f t="shared" si="0"/>
        <v>12.7</v>
      </c>
      <c r="D66" s="98" t="s">
        <v>498</v>
      </c>
      <c r="E66" s="99">
        <v>0.75</v>
      </c>
    </row>
    <row r="67" spans="1:5" x14ac:dyDescent="0.25">
      <c r="A67" s="101" t="str">
        <f>IF(Select_Lang="English", Tables!C137,Tables!H137)</f>
        <v>Double Low-E (e2=.1) Clear</v>
      </c>
      <c r="B67" s="99">
        <v>0.5</v>
      </c>
      <c r="C67" s="98">
        <f t="shared" ref="C67:C130" si="1">IF(B67="n/a", "n/a", CONVERT(B67,"in","m")*1000)</f>
        <v>12.7</v>
      </c>
      <c r="D67" s="98" t="s">
        <v>499</v>
      </c>
      <c r="E67" s="99">
        <v>0.75</v>
      </c>
    </row>
    <row r="68" spans="1:5" x14ac:dyDescent="0.25">
      <c r="A68" s="101" t="str">
        <f>IF(Select_Lang="English", Tables!C138,Tables!H138)</f>
        <v>Double Low-E (e2=.1) Tint</v>
      </c>
      <c r="B68" s="99">
        <v>0.24803149606299213</v>
      </c>
      <c r="C68" s="98">
        <f t="shared" si="1"/>
        <v>6.3</v>
      </c>
      <c r="D68" s="98" t="s">
        <v>498</v>
      </c>
      <c r="E68" s="99">
        <v>0.44</v>
      </c>
    </row>
    <row r="69" spans="1:5" x14ac:dyDescent="0.25">
      <c r="A69" s="101" t="str">
        <f>IF(Select_Lang="English", Tables!C139,Tables!H139)</f>
        <v>Double Low-E (e2=.1) Tint</v>
      </c>
      <c r="B69" s="99">
        <v>0.5</v>
      </c>
      <c r="C69" s="98">
        <f t="shared" si="1"/>
        <v>12.7</v>
      </c>
      <c r="D69" s="98" t="s">
        <v>498</v>
      </c>
      <c r="E69" s="99">
        <v>0.44</v>
      </c>
    </row>
    <row r="70" spans="1:5" x14ac:dyDescent="0.25">
      <c r="A70" s="101" t="str">
        <f>IF(Select_Lang="English", Tables!C140,Tables!H140)</f>
        <v>Double Low-E (e2=.1) Tint</v>
      </c>
      <c r="B70" s="99">
        <v>0.5</v>
      </c>
      <c r="C70" s="98">
        <f t="shared" si="1"/>
        <v>12.7</v>
      </c>
      <c r="D70" s="98" t="s">
        <v>499</v>
      </c>
      <c r="E70" s="99">
        <v>0.44</v>
      </c>
    </row>
    <row r="71" spans="1:5" x14ac:dyDescent="0.25">
      <c r="A71" s="101" t="str">
        <f>IF(Select_Lang="English", Tables!C141,Tables!H141)</f>
        <v>Double Low-E (e3=.1) Clear</v>
      </c>
      <c r="B71" s="99">
        <v>0.24803149606299213</v>
      </c>
      <c r="C71" s="98">
        <f t="shared" si="1"/>
        <v>6.3</v>
      </c>
      <c r="D71" s="98" t="s">
        <v>498</v>
      </c>
      <c r="E71" s="99">
        <v>0.77</v>
      </c>
    </row>
    <row r="72" spans="1:5" x14ac:dyDescent="0.25">
      <c r="A72" s="101" t="str">
        <f>IF(Select_Lang="English", Tables!C142,Tables!H142)</f>
        <v>Double Low-E (e3=.1) Clear</v>
      </c>
      <c r="B72" s="99">
        <v>0.5</v>
      </c>
      <c r="C72" s="98">
        <f t="shared" si="1"/>
        <v>12.7</v>
      </c>
      <c r="D72" s="98" t="s">
        <v>498</v>
      </c>
      <c r="E72" s="99">
        <v>0.77</v>
      </c>
    </row>
    <row r="73" spans="1:5" x14ac:dyDescent="0.25">
      <c r="A73" s="101" t="str">
        <f>IF(Select_Lang="English", Tables!C143,Tables!H143)</f>
        <v>Double Low-E (e3=.1) Clear</v>
      </c>
      <c r="B73" s="99">
        <v>0.5</v>
      </c>
      <c r="C73" s="98">
        <f t="shared" si="1"/>
        <v>12.7</v>
      </c>
      <c r="D73" s="98" t="s">
        <v>499</v>
      </c>
      <c r="E73" s="99">
        <v>0.77</v>
      </c>
    </row>
    <row r="74" spans="1:5" x14ac:dyDescent="0.25">
      <c r="A74" s="101" t="str">
        <f>IF(Select_Lang="English", Tables!C144,Tables!H144)</f>
        <v>Double Low-E (e2=.04) Clear</v>
      </c>
      <c r="B74" s="99">
        <v>0.24803149606299213</v>
      </c>
      <c r="C74" s="98">
        <f t="shared" si="1"/>
        <v>6.3</v>
      </c>
      <c r="D74" s="98" t="s">
        <v>498</v>
      </c>
      <c r="E74" s="99">
        <v>0.7</v>
      </c>
    </row>
    <row r="75" spans="1:5" x14ac:dyDescent="0.25">
      <c r="A75" s="101" t="str">
        <f>IF(Select_Lang="English", Tables!C145,Tables!H145)</f>
        <v>Double Low-E (e2=.04) Clear</v>
      </c>
      <c r="B75" s="99">
        <v>0.5</v>
      </c>
      <c r="C75" s="98">
        <f t="shared" si="1"/>
        <v>12.7</v>
      </c>
      <c r="D75" s="98" t="s">
        <v>498</v>
      </c>
      <c r="E75" s="99">
        <v>0.7</v>
      </c>
    </row>
    <row r="76" spans="1:5" x14ac:dyDescent="0.25">
      <c r="A76" s="101" t="str">
        <f>IF(Select_Lang="English", Tables!C146,Tables!H146)</f>
        <v>Double Low-E (e2=.04) Clear</v>
      </c>
      <c r="B76" s="99">
        <v>0.5</v>
      </c>
      <c r="C76" s="98">
        <f t="shared" si="1"/>
        <v>12.7</v>
      </c>
      <c r="D76" s="98" t="s">
        <v>499</v>
      </c>
      <c r="E76" s="99">
        <v>0.7</v>
      </c>
    </row>
    <row r="77" spans="1:5" x14ac:dyDescent="0.25">
      <c r="A77" s="101" t="str">
        <f>IF(Select_Lang="English", Tables!C147,Tables!H147)</f>
        <v>Double Low-E (e3=.04) Clear</v>
      </c>
      <c r="B77" s="99">
        <v>0.24803149606299213</v>
      </c>
      <c r="C77" s="98">
        <f t="shared" si="1"/>
        <v>6.3</v>
      </c>
      <c r="D77" s="98" t="s">
        <v>498</v>
      </c>
      <c r="E77" s="99">
        <v>0.68</v>
      </c>
    </row>
    <row r="78" spans="1:5" x14ac:dyDescent="0.25">
      <c r="A78" s="101" t="str">
        <f>IF(Select_Lang="English", Tables!C148,Tables!H148)</f>
        <v>Double Low-E (e3=.04) Clear</v>
      </c>
      <c r="B78" s="99">
        <v>0.5</v>
      </c>
      <c r="C78" s="98">
        <f t="shared" si="1"/>
        <v>12.7</v>
      </c>
      <c r="D78" s="98" t="s">
        <v>498</v>
      </c>
      <c r="E78" s="99">
        <v>0.68</v>
      </c>
    </row>
    <row r="79" spans="1:5" x14ac:dyDescent="0.25">
      <c r="A79" s="101" t="str">
        <f>IF(Select_Lang="English", Tables!C149,Tables!H149)</f>
        <v>Double Low-E (e3=.04) Clear</v>
      </c>
      <c r="B79" s="99">
        <v>0.5</v>
      </c>
      <c r="C79" s="98">
        <f t="shared" si="1"/>
        <v>12.7</v>
      </c>
      <c r="D79" s="98" t="s">
        <v>499</v>
      </c>
      <c r="E79" s="99">
        <v>0.68</v>
      </c>
    </row>
    <row r="80" spans="1:5" x14ac:dyDescent="0.25">
      <c r="A80" s="101" t="str">
        <f>IF(Select_Lang="English", Tables!C150,Tables!H150)</f>
        <v>Double Low-E (e2=.04) Tint</v>
      </c>
      <c r="B80" s="99">
        <v>0.24803149606299213</v>
      </c>
      <c r="C80" s="98">
        <f t="shared" si="1"/>
        <v>6.3</v>
      </c>
      <c r="D80" s="98" t="s">
        <v>498</v>
      </c>
      <c r="E80" s="99">
        <v>0.41</v>
      </c>
    </row>
    <row r="81" spans="1:5" x14ac:dyDescent="0.25">
      <c r="A81" s="101" t="str">
        <f>IF(Select_Lang="English", Tables!C151,Tables!H151)</f>
        <v>Double Low-E (e2=.04) Tint</v>
      </c>
      <c r="B81" s="99">
        <v>0.5</v>
      </c>
      <c r="C81" s="98">
        <f t="shared" si="1"/>
        <v>12.7</v>
      </c>
      <c r="D81" s="98" t="s">
        <v>498</v>
      </c>
      <c r="E81" s="99">
        <v>0.41</v>
      </c>
    </row>
    <row r="82" spans="1:5" x14ac:dyDescent="0.25">
      <c r="A82" s="101" t="str">
        <f>IF(Select_Lang="English", Tables!C152,Tables!H152)</f>
        <v>Double Low-E (e2=.04) Tint</v>
      </c>
      <c r="B82" s="99">
        <v>0.5</v>
      </c>
      <c r="C82" s="98">
        <f t="shared" si="1"/>
        <v>12.7</v>
      </c>
      <c r="D82" s="98" t="s">
        <v>499</v>
      </c>
      <c r="E82" s="99">
        <v>0.41</v>
      </c>
    </row>
    <row r="83" spans="1:5" x14ac:dyDescent="0.25">
      <c r="A83" s="101" t="str">
        <f>IF(Select_Lang="English", Tables!C153,Tables!H153)</f>
        <v>Double Electrochromic Absorbing Bleached/Colored, 6.3-mm Gap</v>
      </c>
      <c r="B83" s="99">
        <v>0.24803149606299213</v>
      </c>
      <c r="C83" s="98">
        <f t="shared" si="1"/>
        <v>6.3</v>
      </c>
      <c r="D83" s="98" t="s">
        <v>498</v>
      </c>
      <c r="E83" s="99">
        <v>0.76</v>
      </c>
    </row>
    <row r="84" spans="1:5" x14ac:dyDescent="0.25">
      <c r="A84" s="101" t="str">
        <f>IF(Select_Lang="English", Tables!C154,Tables!H154)</f>
        <v>Double Electrochromic Absorbing Bleached/Colored, 6.3-mm Gap</v>
      </c>
      <c r="B84" s="99">
        <v>0.24803149606299213</v>
      </c>
      <c r="C84" s="98">
        <f t="shared" si="1"/>
        <v>6.3</v>
      </c>
      <c r="D84" s="98" t="s">
        <v>498</v>
      </c>
      <c r="E84" s="99">
        <v>0.12</v>
      </c>
    </row>
    <row r="85" spans="1:5" x14ac:dyDescent="0.25">
      <c r="A85" s="101" t="str">
        <f>IF(Select_Lang="English", Tables!C155,Tables!H155)</f>
        <v>Double Electrochromic Absorbing Bleached/Colored, 12.7-mm Gap</v>
      </c>
      <c r="B85" s="99">
        <v>0.5</v>
      </c>
      <c r="C85" s="98">
        <f t="shared" si="1"/>
        <v>12.7</v>
      </c>
      <c r="D85" s="98" t="s">
        <v>498</v>
      </c>
      <c r="E85" s="99">
        <v>0.76</v>
      </c>
    </row>
    <row r="86" spans="1:5" x14ac:dyDescent="0.25">
      <c r="A86" s="101" t="str">
        <f>IF(Select_Lang="English", Tables!C156,Tables!H156)</f>
        <v>Double Electrochromic Absorbing Bleached/Colored, 12.7-mm Gap</v>
      </c>
      <c r="B86" s="99">
        <v>0.5</v>
      </c>
      <c r="C86" s="98">
        <f t="shared" si="1"/>
        <v>12.7</v>
      </c>
      <c r="D86" s="98" t="s">
        <v>498</v>
      </c>
      <c r="E86" s="99">
        <v>0.12</v>
      </c>
    </row>
    <row r="87" spans="1:5" x14ac:dyDescent="0.25">
      <c r="A87" s="101" t="str">
        <f>IF(Select_Lang="English", Tables!C157,Tables!H157)</f>
        <v>Double Electrochromic Absorbing Bleached/Colored, 12.7-mm Gap, Argon</v>
      </c>
      <c r="B87" s="99">
        <v>0.5</v>
      </c>
      <c r="C87" s="98">
        <f t="shared" si="1"/>
        <v>12.7</v>
      </c>
      <c r="D87" s="98" t="s">
        <v>499</v>
      </c>
      <c r="E87" s="99">
        <v>0.76</v>
      </c>
    </row>
    <row r="88" spans="1:5" x14ac:dyDescent="0.25">
      <c r="A88" s="101" t="str">
        <f>IF(Select_Lang="English", Tables!C158,Tables!H158)</f>
        <v>Double Electrochromic Absorbing Bleached/Colored, 12.7-mm Gap, Argon</v>
      </c>
      <c r="B88" s="99">
        <v>0.5</v>
      </c>
      <c r="C88" s="98">
        <f t="shared" si="1"/>
        <v>12.7</v>
      </c>
      <c r="D88" s="98" t="s">
        <v>499</v>
      </c>
      <c r="E88" s="99">
        <v>0.12</v>
      </c>
    </row>
    <row r="89" spans="1:5" x14ac:dyDescent="0.25">
      <c r="A89" s="101" t="str">
        <f>IF(Select_Lang="English", Tables!C159,Tables!H159)</f>
        <v>Double Electrochromic Reflecting Bleached/Colored, 6.3-mm Gap</v>
      </c>
      <c r="B89" s="99">
        <v>0.24803149606299213</v>
      </c>
      <c r="C89" s="98">
        <f t="shared" si="1"/>
        <v>6.3</v>
      </c>
      <c r="D89" s="98" t="s">
        <v>498</v>
      </c>
      <c r="E89" s="99">
        <v>0.73</v>
      </c>
    </row>
    <row r="90" spans="1:5" x14ac:dyDescent="0.25">
      <c r="A90" s="101" t="str">
        <f>IF(Select_Lang="English", Tables!C160,Tables!H160)</f>
        <v>Double Electrochromic Reflecting Bleached/Colored, 6.3-mm Gap</v>
      </c>
      <c r="B90" s="99">
        <v>0.24803149606299213</v>
      </c>
      <c r="C90" s="98">
        <f t="shared" si="1"/>
        <v>6.3</v>
      </c>
      <c r="D90" s="98" t="s">
        <v>498</v>
      </c>
      <c r="E90" s="99">
        <v>0.14000000000000001</v>
      </c>
    </row>
    <row r="91" spans="1:5" x14ac:dyDescent="0.25">
      <c r="A91" s="101" t="str">
        <f>IF(Select_Lang="English", Tables!C161,Tables!H161)</f>
        <v>Double Electrochromic Reflecting Bleached/Colored, 12.7-mm Gap</v>
      </c>
      <c r="B91" s="99">
        <v>0.5</v>
      </c>
      <c r="C91" s="98">
        <f t="shared" si="1"/>
        <v>12.7</v>
      </c>
      <c r="D91" s="98" t="s">
        <v>498</v>
      </c>
      <c r="E91" s="99">
        <v>0.73</v>
      </c>
    </row>
    <row r="92" spans="1:5" x14ac:dyDescent="0.25">
      <c r="A92" s="101" t="str">
        <f>IF(Select_Lang="English", Tables!C162,Tables!H162)</f>
        <v>Double Electrochromic Reflecting Bleached/Colored, 12.7-mm Gap</v>
      </c>
      <c r="B92" s="99">
        <v>0.5</v>
      </c>
      <c r="C92" s="98">
        <f t="shared" si="1"/>
        <v>12.7</v>
      </c>
      <c r="D92" s="98" t="s">
        <v>498</v>
      </c>
      <c r="E92" s="99">
        <v>0.14000000000000001</v>
      </c>
    </row>
    <row r="93" spans="1:5" x14ac:dyDescent="0.25">
      <c r="A93" s="101" t="str">
        <f>IF(Select_Lang="English", Tables!C163,Tables!H163)</f>
        <v>Double Electrochromic Reflecting Bleached/Colored, 12.7-mm Gap, Argon</v>
      </c>
      <c r="B93" s="99">
        <v>0.5</v>
      </c>
      <c r="C93" s="98">
        <f t="shared" si="1"/>
        <v>12.7</v>
      </c>
      <c r="D93" s="98" t="s">
        <v>499</v>
      </c>
      <c r="E93" s="99">
        <v>0.73</v>
      </c>
    </row>
    <row r="94" spans="1:5" x14ac:dyDescent="0.25">
      <c r="A94" s="101" t="str">
        <f>IF(Select_Lang="English", Tables!C164,Tables!H164)</f>
        <v>Double Electrochromic Reflecting Bleached/Colored, 12.7-mm Gap, Argon</v>
      </c>
      <c r="B94" s="99">
        <v>0.5</v>
      </c>
      <c r="C94" s="98">
        <f t="shared" si="1"/>
        <v>12.7</v>
      </c>
      <c r="D94" s="98" t="s">
        <v>499</v>
      </c>
      <c r="E94" s="99">
        <v>0.14000000000000001</v>
      </c>
    </row>
    <row r="95" spans="1:5" x14ac:dyDescent="0.25">
      <c r="A95" s="101" t="str">
        <f>IF(Select_Lang="English", Tables!C165,Tables!H165)</f>
        <v>Double Low-E (e2=.029) Electrochromic Absorbing Bleached/Colored, 6.3-mm Gap</v>
      </c>
      <c r="B95" s="99">
        <v>0.24803149606299213</v>
      </c>
      <c r="C95" s="98">
        <f t="shared" si="1"/>
        <v>6.3</v>
      </c>
      <c r="D95" s="98" t="s">
        <v>498</v>
      </c>
      <c r="E95" s="99">
        <v>0.66</v>
      </c>
    </row>
    <row r="96" spans="1:5" x14ac:dyDescent="0.25">
      <c r="A96" s="101" t="str">
        <f>IF(Select_Lang="English", Tables!C166,Tables!H166)</f>
        <v>Double Low-E (e2=.029) Electrochromic Absorbing Bleached/Colored, 6.3-mm Gap</v>
      </c>
      <c r="B96" s="99">
        <v>0.24803149606299213</v>
      </c>
      <c r="C96" s="98">
        <f t="shared" si="1"/>
        <v>6.3</v>
      </c>
      <c r="D96" s="98" t="s">
        <v>498</v>
      </c>
      <c r="E96" s="99">
        <v>0.1</v>
      </c>
    </row>
    <row r="97" spans="1:5" x14ac:dyDescent="0.25">
      <c r="A97" s="101" t="str">
        <f>IF(Select_Lang="English", Tables!C167,Tables!H167)</f>
        <v>Double Low-E (e2=.029) Electrochromic Absorbing Bleached/Colored, 12.7-mm Gap</v>
      </c>
      <c r="B97" s="99">
        <v>0.5</v>
      </c>
      <c r="C97" s="98">
        <f t="shared" si="1"/>
        <v>12.7</v>
      </c>
      <c r="D97" s="98" t="s">
        <v>498</v>
      </c>
      <c r="E97" s="99">
        <v>0.66</v>
      </c>
    </row>
    <row r="98" spans="1:5" x14ac:dyDescent="0.25">
      <c r="A98" s="101" t="str">
        <f>IF(Select_Lang="English", Tables!C168,Tables!H168)</f>
        <v>Double Low-E (e2=.029) Electrochromic Absorbing Bleached/Colored, 12.7-mm Gap</v>
      </c>
      <c r="B98" s="99">
        <v>0.5</v>
      </c>
      <c r="C98" s="98">
        <f t="shared" si="1"/>
        <v>12.7</v>
      </c>
      <c r="D98" s="98" t="s">
        <v>498</v>
      </c>
      <c r="E98" s="99">
        <v>0.1</v>
      </c>
    </row>
    <row r="99" spans="1:5" x14ac:dyDescent="0.25">
      <c r="A99" s="101" t="str">
        <f>IF(Select_Lang="English", Tables!C169,Tables!H169)</f>
        <v>Double Low-E (e2=.029) Electrochromic Absorbing Bleached/Colored, 12.7-mm Gap, Argon</v>
      </c>
      <c r="B99" s="99">
        <v>0.5</v>
      </c>
      <c r="C99" s="98">
        <f t="shared" si="1"/>
        <v>12.7</v>
      </c>
      <c r="D99" s="98" t="s">
        <v>499</v>
      </c>
      <c r="E99" s="99">
        <v>0.66</v>
      </c>
    </row>
    <row r="100" spans="1:5" x14ac:dyDescent="0.25">
      <c r="A100" s="101" t="str">
        <f>IF(Select_Lang="English", Tables!C170,Tables!H170)</f>
        <v>Double Low-E (e2=.029) Electrochromic Absorbing Bleached/Colored, 12.7-mm Gap, Argon</v>
      </c>
      <c r="B100" s="99">
        <v>0.5</v>
      </c>
      <c r="C100" s="98">
        <f t="shared" si="1"/>
        <v>12.7</v>
      </c>
      <c r="D100" s="98" t="s">
        <v>499</v>
      </c>
      <c r="E100" s="99">
        <v>0.1</v>
      </c>
    </row>
    <row r="101" spans="1:5" x14ac:dyDescent="0.25">
      <c r="A101" s="101" t="str">
        <f>IF(Select_Lang="English", Tables!C171,Tables!H171)</f>
        <v>Double Low-E (e2=.029) Electrochromic Reflecting Bleached/Colored, 6.3-mm Gap</v>
      </c>
      <c r="B101" s="99">
        <v>0.24803149606299213</v>
      </c>
      <c r="C101" s="98">
        <f t="shared" si="1"/>
        <v>6.3</v>
      </c>
      <c r="D101" s="98" t="s">
        <v>498</v>
      </c>
      <c r="E101" s="99">
        <v>0.64</v>
      </c>
    </row>
    <row r="102" spans="1:5" x14ac:dyDescent="0.25">
      <c r="A102" s="101" t="str">
        <f>IF(Select_Lang="English", Tables!C172,Tables!H172)</f>
        <v>Double Low-E (e2=.029) Electrochromic Reflecting Bleached/Colored, 6.3-mm Gap</v>
      </c>
      <c r="B102" s="99">
        <v>0.24803149606299213</v>
      </c>
      <c r="C102" s="98">
        <f t="shared" si="1"/>
        <v>6.3</v>
      </c>
      <c r="D102" s="98" t="s">
        <v>498</v>
      </c>
      <c r="E102" s="99">
        <v>0.12</v>
      </c>
    </row>
    <row r="103" spans="1:5" x14ac:dyDescent="0.25">
      <c r="A103" s="101" t="str">
        <f>IF(Select_Lang="English", Tables!C173,Tables!H173)</f>
        <v>Double Low-E (e2=.029) Electrochromic Reflecting Bleached/Colored, 12.7-mm Gap</v>
      </c>
      <c r="B103" s="99">
        <v>0.5</v>
      </c>
      <c r="C103" s="98">
        <f t="shared" si="1"/>
        <v>12.7</v>
      </c>
      <c r="D103" s="98" t="s">
        <v>498</v>
      </c>
      <c r="E103" s="99">
        <v>0.64</v>
      </c>
    </row>
    <row r="104" spans="1:5" x14ac:dyDescent="0.25">
      <c r="A104" s="101" t="str">
        <f>IF(Select_Lang="English", Tables!C174,Tables!H174)</f>
        <v>Double Low-E (e2=.029) Electrochromic Reflecting Bleached/Colored, 12.7-mm Gap</v>
      </c>
      <c r="B104" s="99">
        <v>0.5</v>
      </c>
      <c r="C104" s="98">
        <f t="shared" si="1"/>
        <v>12.7</v>
      </c>
      <c r="D104" s="98" t="s">
        <v>498</v>
      </c>
      <c r="E104" s="99">
        <v>0.12</v>
      </c>
    </row>
    <row r="105" spans="1:5" x14ac:dyDescent="0.25">
      <c r="A105" s="101" t="str">
        <f>IF(Select_Lang="English", Tables!C175,Tables!H175)</f>
        <v>Double Low-E (e2=.029) Electrochromic Reflecting Bleached/Colored, 12.7-mm Gap, Argon</v>
      </c>
      <c r="B105" s="99">
        <v>0.5</v>
      </c>
      <c r="C105" s="98">
        <f t="shared" si="1"/>
        <v>12.7</v>
      </c>
      <c r="D105" s="98" t="s">
        <v>499</v>
      </c>
      <c r="E105" s="99">
        <v>0.64</v>
      </c>
    </row>
    <row r="106" spans="1:5" x14ac:dyDescent="0.25">
      <c r="A106" s="101" t="str">
        <f>IF(Select_Lang="English", Tables!C176,Tables!H176)</f>
        <v>Double Low-E (e2=.029) Electrochromic Reflecting Bleached/Colored, 12.7-mm Gap, Argon</v>
      </c>
      <c r="B106" s="99">
        <v>0.5</v>
      </c>
      <c r="C106" s="98">
        <f t="shared" si="1"/>
        <v>12.7</v>
      </c>
      <c r="D106" s="98" t="s">
        <v>499</v>
      </c>
      <c r="E106" s="99">
        <v>0.12</v>
      </c>
    </row>
    <row r="107" spans="1:5" x14ac:dyDescent="0.25">
      <c r="A107" s="101" t="str">
        <f>IF(Select_Lang="English", Tables!C177,Tables!H177)</f>
        <v>Triple Clear</v>
      </c>
      <c r="B107" s="99">
        <v>0.24803149606299213</v>
      </c>
      <c r="C107" s="98">
        <f t="shared" si="1"/>
        <v>6.3</v>
      </c>
      <c r="D107" s="98" t="s">
        <v>498</v>
      </c>
      <c r="E107" s="99">
        <v>0.74</v>
      </c>
    </row>
    <row r="108" spans="1:5" x14ac:dyDescent="0.25">
      <c r="A108" s="101" t="str">
        <f>IF(Select_Lang="English", Tables!C178,Tables!H178)</f>
        <v>Triple Clear</v>
      </c>
      <c r="B108" s="99">
        <v>0.5</v>
      </c>
      <c r="C108" s="98">
        <f t="shared" si="1"/>
        <v>12.7</v>
      </c>
      <c r="D108" s="98" t="s">
        <v>498</v>
      </c>
      <c r="E108" s="99">
        <v>0.74</v>
      </c>
    </row>
    <row r="109" spans="1:5" x14ac:dyDescent="0.25">
      <c r="A109" s="101" t="str">
        <f>IF(Select_Lang="English", Tables!C179,Tables!H179)</f>
        <v>Triple Clear</v>
      </c>
      <c r="B109" s="99">
        <v>0.5</v>
      </c>
      <c r="C109" s="98">
        <f t="shared" si="1"/>
        <v>12.7</v>
      </c>
      <c r="D109" s="98" t="s">
        <v>499</v>
      </c>
      <c r="E109" s="99">
        <v>0.74</v>
      </c>
    </row>
    <row r="110" spans="1:5" x14ac:dyDescent="0.25">
      <c r="A110" s="101" t="str">
        <f>IF(Select_Lang="English", Tables!C180,Tables!H180)</f>
        <v>Triple Low-E (e5=.1) Clear</v>
      </c>
      <c r="B110" s="99">
        <v>0.24803149606299213</v>
      </c>
      <c r="C110" s="98">
        <f t="shared" si="1"/>
        <v>6.3</v>
      </c>
      <c r="D110" s="98" t="s">
        <v>498</v>
      </c>
      <c r="E110" s="99">
        <v>0.7</v>
      </c>
    </row>
    <row r="111" spans="1:5" x14ac:dyDescent="0.25">
      <c r="A111" s="101" t="str">
        <f>IF(Select_Lang="English", Tables!C181,Tables!H181)</f>
        <v>Triple Low-E (e5=.1) Clear</v>
      </c>
      <c r="B111" s="99">
        <v>0.5</v>
      </c>
      <c r="C111" s="98">
        <f t="shared" si="1"/>
        <v>12.7</v>
      </c>
      <c r="D111" s="98" t="s">
        <v>498</v>
      </c>
      <c r="E111" s="99">
        <v>0.7</v>
      </c>
    </row>
    <row r="112" spans="1:5" x14ac:dyDescent="0.25">
      <c r="A112" s="101" t="str">
        <f>IF(Select_Lang="English", Tables!C182,Tables!H182)</f>
        <v>Triple Low-E (e5=.1) Clear</v>
      </c>
      <c r="B112" s="99">
        <v>0.5</v>
      </c>
      <c r="C112" s="98">
        <f t="shared" si="1"/>
        <v>12.7</v>
      </c>
      <c r="D112" s="98" t="s">
        <v>499</v>
      </c>
      <c r="E112" s="99">
        <v>0.7</v>
      </c>
    </row>
    <row r="113" spans="1:5" x14ac:dyDescent="0.25">
      <c r="A113" s="101" t="str">
        <f>IF(Select_Lang="English", Tables!C183,Tables!H183)</f>
        <v>Triple Low-E (e2=e5=.1) Clear</v>
      </c>
      <c r="B113" s="99">
        <v>0.24803149606299213</v>
      </c>
      <c r="C113" s="98">
        <f t="shared" si="1"/>
        <v>6.3</v>
      </c>
      <c r="D113" s="98" t="s">
        <v>498</v>
      </c>
      <c r="E113" s="99">
        <v>0.66</v>
      </c>
    </row>
    <row r="114" spans="1:5" x14ac:dyDescent="0.25">
      <c r="A114" s="101" t="str">
        <f>IF(Select_Lang="English", Tables!C184,Tables!H184)</f>
        <v>Triple Low-E (e2=e5=.1) Clear</v>
      </c>
      <c r="B114" s="99">
        <v>0.5</v>
      </c>
      <c r="C114" s="98">
        <f t="shared" si="1"/>
        <v>12.7</v>
      </c>
      <c r="D114" s="98" t="s">
        <v>498</v>
      </c>
      <c r="E114" s="99">
        <v>0.66</v>
      </c>
    </row>
    <row r="115" spans="1:5" x14ac:dyDescent="0.25">
      <c r="A115" s="101" t="str">
        <f>IF(Select_Lang="English", Tables!C185,Tables!H185)</f>
        <v>Triple Low-E (e2=e5=.1) Clear</v>
      </c>
      <c r="B115" s="99">
        <v>0.5</v>
      </c>
      <c r="C115" s="98">
        <f t="shared" si="1"/>
        <v>12.7</v>
      </c>
      <c r="D115" s="98" t="s">
        <v>499</v>
      </c>
      <c r="E115" s="99">
        <v>0.66</v>
      </c>
    </row>
    <row r="116" spans="1:5" x14ac:dyDescent="0.25">
      <c r="A116" s="101" t="str">
        <f>IF(Select_Lang="English", Tables!C186,Tables!H186)</f>
        <v>Triple Low-E Film (88) Clear</v>
      </c>
      <c r="B116" s="99">
        <v>0.24803149606299213</v>
      </c>
      <c r="C116" s="98">
        <f t="shared" si="1"/>
        <v>6.3</v>
      </c>
      <c r="D116" s="98" t="s">
        <v>498</v>
      </c>
      <c r="E116" s="99">
        <v>0.71</v>
      </c>
    </row>
    <row r="117" spans="1:5" x14ac:dyDescent="0.25">
      <c r="A117" s="101" t="str">
        <f>IF(Select_Lang="English", Tables!C187,Tables!H187)</f>
        <v>Triple Low-E Film (88) Clear</v>
      </c>
      <c r="B117" s="99">
        <v>0.5</v>
      </c>
      <c r="C117" s="98">
        <f t="shared" si="1"/>
        <v>12.7</v>
      </c>
      <c r="D117" s="98" t="s">
        <v>498</v>
      </c>
      <c r="E117" s="99">
        <v>0.71</v>
      </c>
    </row>
    <row r="118" spans="1:5" x14ac:dyDescent="0.25">
      <c r="A118" s="101" t="str">
        <f>IF(Select_Lang="English", Tables!C188,Tables!H188)</f>
        <v>Triple Low-E Film (77) Clear</v>
      </c>
      <c r="B118" s="99">
        <v>0.24803149606299213</v>
      </c>
      <c r="C118" s="98">
        <f t="shared" si="1"/>
        <v>6.3</v>
      </c>
      <c r="D118" s="98" t="s">
        <v>498</v>
      </c>
      <c r="E118" s="99">
        <v>0.64</v>
      </c>
    </row>
    <row r="119" spans="1:5" x14ac:dyDescent="0.25">
      <c r="A119" s="101" t="str">
        <f>IF(Select_Lang="English", Tables!C189,Tables!H189)</f>
        <v>Triple Low-E Film (77) Clear</v>
      </c>
      <c r="B119" s="99">
        <v>0.5</v>
      </c>
      <c r="C119" s="98">
        <f t="shared" si="1"/>
        <v>12.7</v>
      </c>
      <c r="D119" s="98" t="s">
        <v>498</v>
      </c>
      <c r="E119" s="99">
        <v>0.64</v>
      </c>
    </row>
    <row r="120" spans="1:5" x14ac:dyDescent="0.25">
      <c r="A120" s="101" t="str">
        <f>IF(Select_Lang="English", Tables!C190,Tables!H190)</f>
        <v>Triple Low-E Film (66) Clear</v>
      </c>
      <c r="B120" s="99">
        <v>0.24803149606299213</v>
      </c>
      <c r="C120" s="98">
        <f t="shared" si="1"/>
        <v>6.3</v>
      </c>
      <c r="D120" s="98" t="s">
        <v>498</v>
      </c>
      <c r="E120" s="99">
        <v>0.54</v>
      </c>
    </row>
    <row r="121" spans="1:5" x14ac:dyDescent="0.25">
      <c r="A121" s="101" t="str">
        <f>IF(Select_Lang="English", Tables!C191,Tables!H191)</f>
        <v>Triple Low-E Film (66) Clear</v>
      </c>
      <c r="B121" s="99">
        <v>0.5</v>
      </c>
      <c r="C121" s="98">
        <f t="shared" si="1"/>
        <v>12.7</v>
      </c>
      <c r="D121" s="98" t="s">
        <v>498</v>
      </c>
      <c r="E121" s="99">
        <v>0.54</v>
      </c>
    </row>
    <row r="122" spans="1:5" x14ac:dyDescent="0.25">
      <c r="A122" s="101" t="str">
        <f>IF(Select_Lang="English", Tables!C192,Tables!H192)</f>
        <v>Triple Low-E Film (66) Tint</v>
      </c>
      <c r="B122" s="99">
        <v>0.24803149606299213</v>
      </c>
      <c r="C122" s="98">
        <f t="shared" si="1"/>
        <v>6.3</v>
      </c>
      <c r="D122" s="98" t="s">
        <v>498</v>
      </c>
      <c r="E122" s="99">
        <v>0.32</v>
      </c>
    </row>
    <row r="123" spans="1:5" x14ac:dyDescent="0.25">
      <c r="A123" s="101" t="str">
        <f>IF(Select_Lang="English", Tables!C193,Tables!H193)</f>
        <v>Triple Low-E Film (66) Tint</v>
      </c>
      <c r="B123" s="99">
        <v>0.5</v>
      </c>
      <c r="C123" s="98">
        <f t="shared" si="1"/>
        <v>12.7</v>
      </c>
      <c r="D123" s="98" t="s">
        <v>498</v>
      </c>
      <c r="E123" s="99">
        <v>0.32</v>
      </c>
    </row>
    <row r="124" spans="1:5" x14ac:dyDescent="0.25">
      <c r="A124" s="101" t="str">
        <f>IF(Select_Lang="English", Tables!C194,Tables!H194)</f>
        <v>Triple Low-E Film (55) Clear</v>
      </c>
      <c r="B124" s="99">
        <v>0.24803149606299213</v>
      </c>
      <c r="C124" s="98">
        <f t="shared" si="1"/>
        <v>6.3</v>
      </c>
      <c r="D124" s="98" t="s">
        <v>498</v>
      </c>
      <c r="E124" s="99">
        <v>0.45</v>
      </c>
    </row>
    <row r="125" spans="1:5" x14ac:dyDescent="0.25">
      <c r="A125" s="101" t="str">
        <f>IF(Select_Lang="English", Tables!C195,Tables!H195)</f>
        <v>Triple Low-E Film (55) Clear</v>
      </c>
      <c r="B125" s="99">
        <v>0.5</v>
      </c>
      <c r="C125" s="98">
        <f t="shared" si="1"/>
        <v>12.7</v>
      </c>
      <c r="D125" s="98" t="s">
        <v>498</v>
      </c>
      <c r="E125" s="99">
        <v>0.45</v>
      </c>
    </row>
    <row r="126" spans="1:5" x14ac:dyDescent="0.25">
      <c r="A126" s="101" t="str">
        <f>IF(Select_Lang="English", Tables!C196,Tables!H196)</f>
        <v>Triple Low-E Film (55) Tint</v>
      </c>
      <c r="B126" s="99">
        <v>0.24803149606299213</v>
      </c>
      <c r="C126" s="98">
        <f t="shared" si="1"/>
        <v>6.3</v>
      </c>
      <c r="D126" s="98" t="s">
        <v>498</v>
      </c>
      <c r="E126" s="99">
        <v>0.27</v>
      </c>
    </row>
    <row r="127" spans="1:5" x14ac:dyDescent="0.25">
      <c r="A127" s="101" t="str">
        <f>IF(Select_Lang="English", Tables!C197,Tables!H197)</f>
        <v>Triple Low-E Film (55) Tint</v>
      </c>
      <c r="B127" s="99">
        <v>0.5</v>
      </c>
      <c r="C127" s="98">
        <f t="shared" si="1"/>
        <v>12.7</v>
      </c>
      <c r="D127" s="98" t="s">
        <v>498</v>
      </c>
      <c r="E127" s="99">
        <v>0.27</v>
      </c>
    </row>
    <row r="128" spans="1:5" x14ac:dyDescent="0.25">
      <c r="A128" s="101" t="str">
        <f>IF(Select_Lang="English", Tables!C198,Tables!H198)</f>
        <v>Triple Low-E Film (44) Tint</v>
      </c>
      <c r="B128" s="99">
        <v>0.24803149606299213</v>
      </c>
      <c r="C128" s="98">
        <f t="shared" si="1"/>
        <v>6.3</v>
      </c>
      <c r="D128" s="98" t="s">
        <v>498</v>
      </c>
      <c r="E128" s="99">
        <v>0.22</v>
      </c>
    </row>
    <row r="129" spans="1:5" x14ac:dyDescent="0.25">
      <c r="A129" s="101" t="str">
        <f>IF(Select_Lang="English", Tables!C199,Tables!H199)</f>
        <v>Triple Low-E Film (44) Tint</v>
      </c>
      <c r="B129" s="99">
        <v>0.5</v>
      </c>
      <c r="C129" s="98">
        <f t="shared" si="1"/>
        <v>12.7</v>
      </c>
      <c r="D129" s="98" t="s">
        <v>498</v>
      </c>
      <c r="E129" s="99">
        <v>0.22</v>
      </c>
    </row>
    <row r="130" spans="1:5" x14ac:dyDescent="0.25">
      <c r="A130" s="101" t="str">
        <f>IF(Select_Lang="English", Tables!C200,Tables!H200)</f>
        <v>Triple Low-E Film (33) Tint</v>
      </c>
      <c r="B130" s="99">
        <v>0.24803149606299213</v>
      </c>
      <c r="C130" s="98">
        <f t="shared" si="1"/>
        <v>6.3</v>
      </c>
      <c r="D130" s="98" t="s">
        <v>498</v>
      </c>
      <c r="E130" s="99">
        <v>0.17</v>
      </c>
    </row>
    <row r="131" spans="1:5" x14ac:dyDescent="0.25">
      <c r="A131" s="101" t="str">
        <f>IF(Select_Lang="English", Tables!C201,Tables!H201)</f>
        <v>Triple Low-E Film (33) Tint</v>
      </c>
      <c r="B131" s="99">
        <v>0.5</v>
      </c>
      <c r="C131" s="98">
        <f t="shared" ref="C131:C132" si="2">IF(B131="n/a", "n/a", CONVERT(B131,"in","m")*1000)</f>
        <v>12.7</v>
      </c>
      <c r="D131" s="98" t="s">
        <v>498</v>
      </c>
      <c r="E131" s="99">
        <v>0.17</v>
      </c>
    </row>
    <row r="132" spans="1:5" x14ac:dyDescent="0.25">
      <c r="A132" s="101" t="str">
        <f>IF(Select_Lang="English", Tables!C202,Tables!H202)</f>
        <v>Quadruple, Two Low-E Glass, Two Low-E Film, Clear. Krypton</v>
      </c>
      <c r="B132" s="99">
        <v>0.31102362204724415</v>
      </c>
      <c r="C132" s="98">
        <f t="shared" si="2"/>
        <v>7.9</v>
      </c>
      <c r="D132" s="98" t="s">
        <v>500</v>
      </c>
      <c r="E132" s="99">
        <v>0.62</v>
      </c>
    </row>
    <row r="133" spans="1:5" hidden="1" x14ac:dyDescent="0.25">
      <c r="A133" s="45"/>
      <c r="B133" s="46"/>
      <c r="C133" s="46"/>
      <c r="D133" s="46"/>
      <c r="E133" s="47"/>
    </row>
    <row r="134" spans="1:5" hidden="1" x14ac:dyDescent="0.25">
      <c r="A134" s="45"/>
      <c r="B134" s="46"/>
      <c r="C134" s="46"/>
      <c r="D134" s="46"/>
      <c r="E134" s="47"/>
    </row>
    <row r="135" spans="1:5" hidden="1" x14ac:dyDescent="0.25">
      <c r="A135" s="45"/>
      <c r="B135" s="46"/>
      <c r="C135" s="46"/>
      <c r="D135" s="46"/>
      <c r="E135" s="47"/>
    </row>
    <row r="136" spans="1:5" hidden="1" x14ac:dyDescent="0.25">
      <c r="A136" s="45"/>
      <c r="B136" s="46"/>
      <c r="C136" s="46"/>
      <c r="D136" s="46"/>
      <c r="E136" s="47"/>
    </row>
    <row r="137" spans="1:5" hidden="1" x14ac:dyDescent="0.25">
      <c r="A137" s="45"/>
      <c r="B137" s="46"/>
      <c r="C137" s="46"/>
      <c r="D137" s="46"/>
      <c r="E137" s="47"/>
    </row>
    <row r="138" spans="1:5" hidden="1" x14ac:dyDescent="0.25">
      <c r="A138" s="45"/>
      <c r="B138" s="46"/>
      <c r="C138" s="46"/>
      <c r="D138" s="46"/>
      <c r="E138" s="47"/>
    </row>
    <row r="139" spans="1:5" hidden="1" x14ac:dyDescent="0.25">
      <c r="A139" s="45"/>
      <c r="B139" s="46"/>
      <c r="C139" s="46"/>
      <c r="D139" s="46"/>
      <c r="E139" s="47"/>
    </row>
    <row r="140" spans="1:5" hidden="1" x14ac:dyDescent="0.25">
      <c r="A140" s="45"/>
      <c r="B140" s="46"/>
      <c r="C140" s="46"/>
      <c r="D140" s="46"/>
      <c r="E140" s="47"/>
    </row>
    <row r="141" spans="1:5" hidden="1" x14ac:dyDescent="0.25">
      <c r="A141" s="45"/>
      <c r="B141" s="46"/>
      <c r="C141" s="46"/>
      <c r="D141" s="46"/>
      <c r="E141" s="47"/>
    </row>
    <row r="142" spans="1:5" hidden="1" x14ac:dyDescent="0.25">
      <c r="A142" s="45"/>
      <c r="B142" s="46"/>
      <c r="C142" s="46"/>
      <c r="D142" s="46"/>
      <c r="E142" s="47"/>
    </row>
    <row r="143" spans="1:5" hidden="1" x14ac:dyDescent="0.25">
      <c r="A143" s="45"/>
      <c r="B143" s="46"/>
      <c r="C143" s="46"/>
      <c r="D143" s="46"/>
      <c r="E143" s="47"/>
    </row>
    <row r="144" spans="1:5" hidden="1" x14ac:dyDescent="0.25">
      <c r="A144" s="45"/>
      <c r="B144" s="46"/>
      <c r="C144" s="46"/>
      <c r="D144" s="46"/>
      <c r="E144" s="47"/>
    </row>
    <row r="145" spans="1:5" hidden="1" x14ac:dyDescent="0.25">
      <c r="A145" s="45"/>
      <c r="B145" s="46"/>
      <c r="C145" s="46"/>
      <c r="D145" s="46"/>
      <c r="E145" s="47"/>
    </row>
    <row r="146" spans="1:5" hidden="1" x14ac:dyDescent="0.25">
      <c r="A146" s="45"/>
      <c r="B146" s="46"/>
      <c r="C146" s="46"/>
      <c r="D146" s="46"/>
      <c r="E146" s="47"/>
    </row>
    <row r="147" spans="1:5" hidden="1" x14ac:dyDescent="0.25">
      <c r="A147" s="45"/>
      <c r="B147" s="46"/>
      <c r="C147" s="46"/>
      <c r="D147" s="46"/>
      <c r="E147" s="47"/>
    </row>
    <row r="148" spans="1:5" hidden="1" x14ac:dyDescent="0.25">
      <c r="A148" s="45"/>
      <c r="B148" s="46"/>
      <c r="C148" s="46"/>
      <c r="D148" s="46"/>
      <c r="E148" s="47"/>
    </row>
    <row r="149" spans="1:5" hidden="1" x14ac:dyDescent="0.25">
      <c r="A149" s="45"/>
      <c r="B149" s="46"/>
      <c r="C149" s="46"/>
      <c r="D149" s="46"/>
      <c r="E149" s="47"/>
    </row>
    <row r="150" spans="1:5" hidden="1" x14ac:dyDescent="0.25">
      <c r="A150" s="45"/>
      <c r="B150" s="46"/>
      <c r="C150" s="46"/>
      <c r="D150" s="46"/>
      <c r="E150" s="47"/>
    </row>
    <row r="151" spans="1:5" hidden="1" x14ac:dyDescent="0.25">
      <c r="A151" s="45"/>
      <c r="B151" s="46"/>
      <c r="C151" s="46"/>
      <c r="D151" s="46"/>
      <c r="E151" s="47"/>
    </row>
    <row r="152" spans="1:5" hidden="1" x14ac:dyDescent="0.25">
      <c r="A152" s="45"/>
      <c r="B152" s="46"/>
      <c r="C152" s="46"/>
      <c r="D152" s="46"/>
      <c r="E152" s="47"/>
    </row>
    <row r="153" spans="1:5" hidden="1" x14ac:dyDescent="0.25">
      <c r="A153" s="45"/>
      <c r="B153" s="46"/>
      <c r="C153" s="46"/>
      <c r="D153" s="46"/>
      <c r="E153" s="47"/>
    </row>
    <row r="154" spans="1:5" hidden="1" x14ac:dyDescent="0.25">
      <c r="A154" s="45"/>
      <c r="B154" s="46"/>
      <c r="C154" s="46"/>
      <c r="D154" s="46"/>
      <c r="E154" s="47"/>
    </row>
    <row r="155" spans="1:5" hidden="1" x14ac:dyDescent="0.25">
      <c r="A155" s="45"/>
      <c r="B155" s="46"/>
      <c r="C155" s="46"/>
      <c r="D155" s="46"/>
      <c r="E155" s="47"/>
    </row>
    <row r="156" spans="1:5" hidden="1" x14ac:dyDescent="0.25">
      <c r="A156" s="45"/>
      <c r="B156" s="46"/>
      <c r="C156" s="46"/>
      <c r="D156" s="46"/>
      <c r="E156" s="47"/>
    </row>
    <row r="157" spans="1:5" hidden="1" x14ac:dyDescent="0.25">
      <c r="A157" s="45"/>
      <c r="B157" s="46"/>
      <c r="C157" s="46"/>
      <c r="D157" s="46"/>
      <c r="E157" s="47"/>
    </row>
    <row r="158" spans="1:5" hidden="1" x14ac:dyDescent="0.25">
      <c r="A158" s="45"/>
      <c r="B158" s="46"/>
      <c r="C158" s="46"/>
      <c r="D158" s="46"/>
      <c r="E158" s="47"/>
    </row>
    <row r="159" spans="1:5" hidden="1" x14ac:dyDescent="0.25">
      <c r="A159" s="45"/>
      <c r="B159" s="46"/>
      <c r="C159" s="46"/>
      <c r="D159" s="46"/>
      <c r="E159" s="47"/>
    </row>
    <row r="160" spans="1:5" hidden="1" x14ac:dyDescent="0.25">
      <c r="A160" s="45"/>
      <c r="B160" s="46"/>
      <c r="C160" s="46"/>
      <c r="D160" s="46"/>
      <c r="E160" s="47"/>
    </row>
    <row r="161" spans="1:5" hidden="1" x14ac:dyDescent="0.25">
      <c r="A161" s="45"/>
      <c r="B161" s="46"/>
      <c r="C161" s="46"/>
      <c r="D161" s="46"/>
      <c r="E161" s="47"/>
    </row>
    <row r="162" spans="1:5" hidden="1" x14ac:dyDescent="0.25">
      <c r="A162" s="45"/>
      <c r="B162" s="46"/>
      <c r="C162" s="46"/>
      <c r="D162" s="46"/>
      <c r="E162" s="47"/>
    </row>
    <row r="163" spans="1:5" hidden="1" x14ac:dyDescent="0.25">
      <c r="A163" s="45"/>
      <c r="B163" s="46"/>
      <c r="C163" s="46"/>
      <c r="D163" s="46"/>
      <c r="E163" s="47"/>
    </row>
    <row r="164" spans="1:5" hidden="1" x14ac:dyDescent="0.25">
      <c r="A164" s="45"/>
      <c r="B164" s="46"/>
      <c r="C164" s="46"/>
      <c r="D164" s="46"/>
      <c r="E164" s="47"/>
    </row>
    <row r="165" spans="1:5" hidden="1" x14ac:dyDescent="0.25">
      <c r="A165" s="45"/>
      <c r="B165" s="46"/>
      <c r="C165" s="46"/>
      <c r="D165" s="46"/>
      <c r="E165" s="47"/>
    </row>
    <row r="166" spans="1:5" hidden="1" x14ac:dyDescent="0.25">
      <c r="A166" s="45"/>
      <c r="B166" s="46"/>
      <c r="C166" s="46"/>
      <c r="D166" s="46"/>
      <c r="E166" s="47"/>
    </row>
    <row r="167" spans="1:5" hidden="1" x14ac:dyDescent="0.25">
      <c r="A167" s="45"/>
      <c r="B167" s="46"/>
      <c r="C167" s="46"/>
      <c r="D167" s="46"/>
      <c r="E167" s="47"/>
    </row>
    <row r="168" spans="1:5" hidden="1" x14ac:dyDescent="0.25">
      <c r="A168" s="45"/>
      <c r="B168" s="46"/>
      <c r="C168" s="46"/>
      <c r="D168" s="46"/>
      <c r="E168" s="47"/>
    </row>
    <row r="169" spans="1:5" hidden="1" x14ac:dyDescent="0.25">
      <c r="A169" s="45"/>
      <c r="B169" s="46"/>
      <c r="C169" s="46"/>
      <c r="D169" s="46"/>
      <c r="E169" s="47"/>
    </row>
    <row r="170" spans="1:5" hidden="1" x14ac:dyDescent="0.25">
      <c r="A170" s="45"/>
      <c r="B170" s="46"/>
      <c r="C170" s="46"/>
      <c r="D170" s="46"/>
      <c r="E170" s="47"/>
    </row>
    <row r="171" spans="1:5" hidden="1" x14ac:dyDescent="0.25">
      <c r="A171" s="45"/>
      <c r="B171" s="46"/>
      <c r="C171" s="46"/>
      <c r="D171" s="46"/>
      <c r="E171" s="47"/>
    </row>
    <row r="172" spans="1:5" hidden="1" x14ac:dyDescent="0.25">
      <c r="A172" s="45"/>
      <c r="B172" s="46"/>
      <c r="C172" s="46"/>
      <c r="D172" s="46"/>
      <c r="E172" s="47"/>
    </row>
    <row r="173" spans="1:5" hidden="1" x14ac:dyDescent="0.25">
      <c r="A173" s="45"/>
      <c r="B173" s="46"/>
      <c r="C173" s="46"/>
      <c r="D173" s="46"/>
      <c r="E173" s="47"/>
    </row>
    <row r="174" spans="1:5" hidden="1" x14ac:dyDescent="0.25">
      <c r="A174" s="45"/>
      <c r="B174" s="46"/>
      <c r="C174" s="46"/>
      <c r="D174" s="46"/>
      <c r="E174" s="47"/>
    </row>
    <row r="175" spans="1:5" hidden="1" x14ac:dyDescent="0.25">
      <c r="A175" s="45"/>
      <c r="B175" s="46"/>
      <c r="C175" s="46"/>
      <c r="D175" s="46"/>
      <c r="E175" s="47"/>
    </row>
    <row r="176" spans="1:5" hidden="1" x14ac:dyDescent="0.25">
      <c r="A176" s="45"/>
      <c r="B176" s="46"/>
      <c r="C176" s="46"/>
      <c r="D176" s="46"/>
      <c r="E176" s="47"/>
    </row>
    <row r="177" spans="1:5" hidden="1" x14ac:dyDescent="0.25">
      <c r="A177" s="45"/>
      <c r="B177" s="46"/>
      <c r="C177" s="46"/>
      <c r="D177" s="46"/>
      <c r="E177" s="47"/>
    </row>
    <row r="178" spans="1:5" hidden="1" x14ac:dyDescent="0.25">
      <c r="A178" s="45"/>
      <c r="B178" s="46"/>
      <c r="C178" s="46"/>
      <c r="D178" s="46"/>
      <c r="E178" s="47"/>
    </row>
    <row r="179" spans="1:5" hidden="1" x14ac:dyDescent="0.25">
      <c r="A179" s="45"/>
      <c r="B179" s="46"/>
      <c r="C179" s="46"/>
      <c r="D179" s="46"/>
      <c r="E179" s="47"/>
    </row>
    <row r="180" spans="1:5" hidden="1" x14ac:dyDescent="0.25">
      <c r="A180" s="45"/>
      <c r="B180" s="46"/>
      <c r="C180" s="46"/>
      <c r="D180" s="46"/>
      <c r="E180" s="47"/>
    </row>
    <row r="181" spans="1:5" hidden="1" x14ac:dyDescent="0.25">
      <c r="A181" s="45"/>
      <c r="B181" s="46"/>
      <c r="C181" s="46"/>
      <c r="D181" s="46"/>
      <c r="E181" s="47"/>
    </row>
    <row r="182" spans="1:5" hidden="1" x14ac:dyDescent="0.25">
      <c r="A182" s="45"/>
      <c r="B182" s="46"/>
      <c r="C182" s="46"/>
      <c r="D182" s="46"/>
      <c r="E182" s="47"/>
    </row>
    <row r="183" spans="1:5" hidden="1" x14ac:dyDescent="0.25">
      <c r="A183" s="45"/>
      <c r="B183" s="46"/>
      <c r="C183" s="46"/>
      <c r="D183" s="46"/>
      <c r="E183" s="47"/>
    </row>
    <row r="184" spans="1:5" hidden="1" x14ac:dyDescent="0.25">
      <c r="A184" s="45"/>
      <c r="B184" s="46"/>
      <c r="C184" s="46"/>
      <c r="D184" s="46"/>
      <c r="E184" s="47"/>
    </row>
    <row r="185" spans="1:5" hidden="1" x14ac:dyDescent="0.25">
      <c r="A185" s="45"/>
      <c r="B185" s="46"/>
      <c r="C185" s="46"/>
      <c r="D185" s="46"/>
      <c r="E185" s="47"/>
    </row>
    <row r="186" spans="1:5" hidden="1" x14ac:dyDescent="0.25">
      <c r="A186" s="45"/>
      <c r="B186" s="46"/>
      <c r="C186" s="46"/>
      <c r="D186" s="46"/>
      <c r="E186" s="47"/>
    </row>
    <row r="187" spans="1:5" hidden="1" x14ac:dyDescent="0.25">
      <c r="A187" s="45"/>
      <c r="B187" s="46"/>
      <c r="C187" s="46"/>
      <c r="D187" s="46"/>
      <c r="E187" s="47"/>
    </row>
    <row r="188" spans="1:5" hidden="1" x14ac:dyDescent="0.25">
      <c r="A188" s="45"/>
      <c r="B188" s="46"/>
      <c r="C188" s="46"/>
      <c r="D188" s="46"/>
      <c r="E188" s="47"/>
    </row>
    <row r="189" spans="1:5" hidden="1" x14ac:dyDescent="0.25">
      <c r="A189" s="45"/>
      <c r="B189" s="46"/>
      <c r="C189" s="46"/>
      <c r="D189" s="46"/>
      <c r="E189" s="47"/>
    </row>
    <row r="190" spans="1:5" hidden="1" x14ac:dyDescent="0.25">
      <c r="A190" s="45"/>
      <c r="B190" s="46"/>
      <c r="C190" s="46"/>
      <c r="D190" s="46"/>
      <c r="E190" s="47"/>
    </row>
    <row r="191" spans="1:5" hidden="1" x14ac:dyDescent="0.25">
      <c r="A191" s="45"/>
      <c r="B191" s="46"/>
      <c r="C191" s="46"/>
      <c r="D191" s="46"/>
      <c r="E191" s="47"/>
    </row>
    <row r="192" spans="1:5" hidden="1" x14ac:dyDescent="0.25">
      <c r="A192" s="45"/>
      <c r="B192" s="46"/>
      <c r="C192" s="46"/>
      <c r="D192" s="46"/>
      <c r="E192" s="47"/>
    </row>
    <row r="193" spans="1:5" hidden="1" x14ac:dyDescent="0.25">
      <c r="A193" s="45"/>
      <c r="B193" s="46"/>
      <c r="C193" s="46"/>
      <c r="D193" s="46"/>
      <c r="E193" s="47"/>
    </row>
    <row r="194" spans="1:5" hidden="1" x14ac:dyDescent="0.25">
      <c r="A194" s="45"/>
      <c r="B194" s="46"/>
      <c r="C194" s="46"/>
      <c r="D194" s="46"/>
      <c r="E194" s="47"/>
    </row>
    <row r="195" spans="1:5" hidden="1" x14ac:dyDescent="0.25">
      <c r="A195" s="45"/>
      <c r="B195" s="46"/>
      <c r="C195" s="46"/>
      <c r="D195" s="46"/>
      <c r="E195" s="47"/>
    </row>
    <row r="196" spans="1:5" hidden="1" x14ac:dyDescent="0.25">
      <c r="A196" s="45"/>
      <c r="B196" s="46"/>
      <c r="C196" s="46"/>
      <c r="D196" s="46"/>
      <c r="E196" s="47"/>
    </row>
    <row r="197" spans="1:5" hidden="1" x14ac:dyDescent="0.25">
      <c r="A197" s="45"/>
      <c r="B197" s="46"/>
      <c r="C197" s="46"/>
      <c r="D197" s="46"/>
      <c r="E197" s="47"/>
    </row>
    <row r="198" spans="1:5" hidden="1" x14ac:dyDescent="0.25">
      <c r="A198" s="45"/>
      <c r="B198" s="46"/>
      <c r="C198" s="46"/>
      <c r="D198" s="46"/>
      <c r="E198" s="47"/>
    </row>
    <row r="199" spans="1:5" hidden="1" x14ac:dyDescent="0.25">
      <c r="A199" s="45"/>
      <c r="B199" s="46"/>
      <c r="C199" s="46"/>
      <c r="D199" s="46"/>
      <c r="E199" s="47"/>
    </row>
    <row r="200" spans="1:5" hidden="1" x14ac:dyDescent="0.25">
      <c r="A200" s="45"/>
      <c r="B200" s="46"/>
      <c r="C200" s="46"/>
      <c r="D200" s="46"/>
      <c r="E200" s="47"/>
    </row>
    <row r="201" spans="1:5" hidden="1" x14ac:dyDescent="0.25">
      <c r="A201" s="45"/>
      <c r="B201" s="46"/>
      <c r="C201" s="46"/>
      <c r="D201" s="46"/>
      <c r="E201" s="47"/>
    </row>
    <row r="202" spans="1:5" hidden="1" x14ac:dyDescent="0.25">
      <c r="A202" s="45"/>
      <c r="B202" s="46"/>
      <c r="C202" s="46"/>
      <c r="D202" s="46"/>
      <c r="E202" s="47"/>
    </row>
    <row r="203" spans="1:5" hidden="1" x14ac:dyDescent="0.25">
      <c r="A203" s="45"/>
      <c r="B203" s="46"/>
      <c r="C203" s="46"/>
      <c r="D203" s="46"/>
      <c r="E203" s="47"/>
    </row>
    <row r="204" spans="1:5" hidden="1" x14ac:dyDescent="0.25">
      <c r="A204" s="45"/>
      <c r="B204" s="46"/>
      <c r="C204" s="46"/>
      <c r="D204" s="46"/>
      <c r="E204" s="47"/>
    </row>
    <row r="205" spans="1:5" hidden="1" x14ac:dyDescent="0.25">
      <c r="A205" s="45"/>
      <c r="B205" s="46"/>
      <c r="C205" s="46"/>
      <c r="D205" s="46"/>
      <c r="E205" s="47"/>
    </row>
    <row r="206" spans="1:5" hidden="1" x14ac:dyDescent="0.25">
      <c r="A206" s="45"/>
      <c r="B206" s="46"/>
      <c r="C206" s="46"/>
      <c r="D206" s="46"/>
      <c r="E206" s="47"/>
    </row>
    <row r="207" spans="1:5" hidden="1" x14ac:dyDescent="0.25">
      <c r="A207" s="45"/>
      <c r="B207" s="46"/>
      <c r="C207" s="46"/>
      <c r="D207" s="46"/>
      <c r="E207" s="47"/>
    </row>
    <row r="208" spans="1:5" hidden="1" x14ac:dyDescent="0.25">
      <c r="A208" s="45"/>
      <c r="B208" s="46"/>
      <c r="C208" s="46"/>
      <c r="D208" s="46"/>
      <c r="E208" s="47"/>
    </row>
    <row r="209" spans="1:5" hidden="1" x14ac:dyDescent="0.25">
      <c r="A209" s="45"/>
      <c r="B209" s="46"/>
      <c r="C209" s="46"/>
      <c r="D209" s="46"/>
      <c r="E209" s="47"/>
    </row>
    <row r="210" spans="1:5" hidden="1" x14ac:dyDescent="0.25">
      <c r="A210" s="45"/>
      <c r="B210" s="46"/>
      <c r="C210" s="46"/>
      <c r="D210" s="46"/>
      <c r="E210" s="47"/>
    </row>
    <row r="211" spans="1:5" hidden="1" x14ac:dyDescent="0.25">
      <c r="A211" s="45"/>
      <c r="B211" s="46"/>
      <c r="C211" s="46"/>
      <c r="D211" s="46"/>
      <c r="E211" s="47"/>
    </row>
    <row r="212" spans="1:5" hidden="1" x14ac:dyDescent="0.25">
      <c r="A212" s="45"/>
      <c r="B212" s="46"/>
      <c r="C212" s="46"/>
      <c r="D212" s="46"/>
      <c r="E212" s="47"/>
    </row>
    <row r="213" spans="1:5" hidden="1" x14ac:dyDescent="0.25">
      <c r="A213" s="45"/>
      <c r="B213" s="46"/>
      <c r="C213" s="46"/>
      <c r="D213" s="46"/>
      <c r="E213" s="47"/>
    </row>
    <row r="214" spans="1:5" hidden="1" x14ac:dyDescent="0.25">
      <c r="A214" s="45"/>
      <c r="B214" s="46"/>
      <c r="C214" s="46"/>
      <c r="D214" s="46"/>
      <c r="E214" s="47"/>
    </row>
    <row r="215" spans="1:5" hidden="1" x14ac:dyDescent="0.25">
      <c r="A215" s="45"/>
      <c r="B215" s="46"/>
      <c r="C215" s="46"/>
      <c r="D215" s="46"/>
      <c r="E215" s="47"/>
    </row>
    <row r="216" spans="1:5" hidden="1" x14ac:dyDescent="0.25">
      <c r="A216" s="45"/>
      <c r="B216" s="46"/>
      <c r="C216" s="46"/>
      <c r="D216" s="46"/>
      <c r="E216" s="47"/>
    </row>
    <row r="217" spans="1:5" hidden="1" x14ac:dyDescent="0.25">
      <c r="A217" s="45"/>
      <c r="B217" s="46"/>
      <c r="C217" s="46"/>
      <c r="D217" s="46"/>
      <c r="E217" s="47"/>
    </row>
    <row r="218" spans="1:5" hidden="1" x14ac:dyDescent="0.25">
      <c r="A218" s="45"/>
      <c r="B218" s="46"/>
      <c r="C218" s="46"/>
      <c r="D218" s="46"/>
      <c r="E218" s="47"/>
    </row>
    <row r="219" spans="1:5" hidden="1" x14ac:dyDescent="0.25">
      <c r="A219" s="45"/>
      <c r="B219" s="46"/>
      <c r="C219" s="46"/>
      <c r="D219" s="46"/>
      <c r="E219" s="47"/>
    </row>
    <row r="220" spans="1:5" hidden="1" x14ac:dyDescent="0.25">
      <c r="A220" s="45"/>
      <c r="B220" s="46"/>
      <c r="C220" s="46"/>
      <c r="D220" s="46"/>
      <c r="E220" s="47"/>
    </row>
    <row r="221" spans="1:5" hidden="1" x14ac:dyDescent="0.25">
      <c r="A221" s="45"/>
      <c r="B221" s="46"/>
      <c r="C221" s="46"/>
      <c r="D221" s="46"/>
      <c r="E221" s="47"/>
    </row>
    <row r="222" spans="1:5" hidden="1" x14ac:dyDescent="0.25">
      <c r="A222" s="45"/>
      <c r="B222" s="46"/>
      <c r="C222" s="46"/>
      <c r="D222" s="46"/>
      <c r="E222" s="47"/>
    </row>
    <row r="223" spans="1:5" hidden="1" x14ac:dyDescent="0.25">
      <c r="A223" s="45"/>
      <c r="B223" s="46"/>
      <c r="C223" s="46"/>
      <c r="D223" s="46"/>
      <c r="E223" s="47"/>
    </row>
    <row r="224" spans="1:5" hidden="1" x14ac:dyDescent="0.25">
      <c r="A224" s="45"/>
      <c r="B224" s="46"/>
      <c r="C224" s="46"/>
      <c r="D224" s="46"/>
      <c r="E224" s="47"/>
    </row>
    <row r="225" spans="1:5" hidden="1" x14ac:dyDescent="0.25">
      <c r="A225" s="45"/>
      <c r="B225" s="46"/>
      <c r="C225" s="46"/>
      <c r="D225" s="46"/>
      <c r="E225" s="47"/>
    </row>
    <row r="226" spans="1:5" hidden="1" x14ac:dyDescent="0.25">
      <c r="A226" s="45"/>
      <c r="B226" s="46"/>
      <c r="C226" s="46"/>
      <c r="D226" s="46"/>
      <c r="E226" s="47"/>
    </row>
    <row r="227" spans="1:5" hidden="1" x14ac:dyDescent="0.25">
      <c r="A227" s="45"/>
      <c r="B227" s="46"/>
      <c r="C227" s="46"/>
      <c r="D227" s="46"/>
      <c r="E227" s="47"/>
    </row>
    <row r="228" spans="1:5" hidden="1" x14ac:dyDescent="0.25">
      <c r="A228" s="45"/>
      <c r="B228" s="46"/>
      <c r="C228" s="46"/>
      <c r="D228" s="46"/>
      <c r="E228" s="47"/>
    </row>
    <row r="229" spans="1:5" hidden="1" x14ac:dyDescent="0.25">
      <c r="A229" s="45"/>
      <c r="B229" s="46"/>
      <c r="C229" s="46"/>
      <c r="D229" s="46"/>
      <c r="E229" s="47"/>
    </row>
    <row r="230" spans="1:5" hidden="1" x14ac:dyDescent="0.25">
      <c r="A230" s="45"/>
      <c r="B230" s="46"/>
      <c r="C230" s="46"/>
      <c r="D230" s="46"/>
      <c r="E230" s="47"/>
    </row>
    <row r="231" spans="1:5" hidden="1" x14ac:dyDescent="0.25">
      <c r="A231" s="45"/>
      <c r="B231" s="46"/>
      <c r="C231" s="46"/>
      <c r="D231" s="46"/>
      <c r="E231" s="47"/>
    </row>
    <row r="232" spans="1:5" hidden="1" x14ac:dyDescent="0.25">
      <c r="A232" s="45"/>
      <c r="B232" s="46"/>
      <c r="C232" s="46"/>
      <c r="D232" s="46"/>
      <c r="E232" s="47"/>
    </row>
    <row r="233" spans="1:5" hidden="1" x14ac:dyDescent="0.25">
      <c r="A233" s="45"/>
      <c r="B233" s="46"/>
      <c r="C233" s="46"/>
      <c r="D233" s="46"/>
      <c r="E233" s="47"/>
    </row>
    <row r="234" spans="1:5" hidden="1" x14ac:dyDescent="0.25">
      <c r="A234" s="45"/>
      <c r="B234" s="46"/>
      <c r="C234" s="46"/>
      <c r="D234" s="46"/>
      <c r="E234" s="47"/>
    </row>
    <row r="235" spans="1:5" hidden="1" x14ac:dyDescent="0.25">
      <c r="A235" s="45"/>
      <c r="B235" s="46"/>
      <c r="C235" s="46"/>
      <c r="D235" s="46"/>
      <c r="E235" s="47"/>
    </row>
    <row r="236" spans="1:5" hidden="1" x14ac:dyDescent="0.25">
      <c r="A236" s="45"/>
      <c r="B236" s="46"/>
      <c r="C236" s="46"/>
      <c r="D236" s="46"/>
      <c r="E236" s="47"/>
    </row>
    <row r="237" spans="1:5" hidden="1" x14ac:dyDescent="0.25">
      <c r="A237" s="45"/>
      <c r="B237" s="46"/>
      <c r="C237" s="46"/>
      <c r="D237" s="46"/>
      <c r="E237" s="47"/>
    </row>
    <row r="238" spans="1:5" hidden="1" x14ac:dyDescent="0.25">
      <c r="A238" s="45"/>
      <c r="B238" s="46"/>
      <c r="C238" s="46"/>
      <c r="D238" s="46"/>
      <c r="E238" s="47"/>
    </row>
    <row r="239" spans="1:5" hidden="1" x14ac:dyDescent="0.25">
      <c r="A239" s="45"/>
      <c r="B239" s="46"/>
      <c r="C239" s="46"/>
      <c r="D239" s="46"/>
      <c r="E239" s="47"/>
    </row>
    <row r="240" spans="1:5" hidden="1" x14ac:dyDescent="0.25">
      <c r="A240" s="45"/>
      <c r="B240" s="46"/>
      <c r="C240" s="46"/>
      <c r="D240" s="46"/>
      <c r="E240" s="47"/>
    </row>
    <row r="241" spans="1:5" hidden="1" x14ac:dyDescent="0.25">
      <c r="A241" s="45"/>
      <c r="B241" s="46"/>
      <c r="C241" s="46"/>
      <c r="D241" s="46"/>
      <c r="E241" s="47"/>
    </row>
    <row r="242" spans="1:5" hidden="1" x14ac:dyDescent="0.25">
      <c r="A242" s="45"/>
      <c r="B242" s="46"/>
      <c r="C242" s="46"/>
      <c r="D242" s="46"/>
      <c r="E242" s="47"/>
    </row>
    <row r="243" spans="1:5" hidden="1" x14ac:dyDescent="0.25">
      <c r="A243" s="45"/>
      <c r="B243" s="46"/>
      <c r="C243" s="46"/>
      <c r="D243" s="46"/>
      <c r="E243" s="47"/>
    </row>
    <row r="244" spans="1:5" hidden="1" x14ac:dyDescent="0.25">
      <c r="A244" s="45"/>
      <c r="B244" s="46"/>
      <c r="C244" s="46"/>
      <c r="D244" s="46"/>
      <c r="E244" s="47"/>
    </row>
    <row r="245" spans="1:5" hidden="1" x14ac:dyDescent="0.25">
      <c r="A245" s="45"/>
      <c r="B245" s="46"/>
      <c r="C245" s="46"/>
      <c r="D245" s="46"/>
      <c r="E245" s="47"/>
    </row>
    <row r="246" spans="1:5" hidden="1" x14ac:dyDescent="0.25">
      <c r="A246" s="45"/>
      <c r="B246" s="46"/>
      <c r="C246" s="46"/>
      <c r="D246" s="46"/>
      <c r="E246" s="47"/>
    </row>
    <row r="247" spans="1:5" hidden="1" x14ac:dyDescent="0.25">
      <c r="A247" s="45"/>
      <c r="B247" s="46"/>
      <c r="C247" s="46"/>
      <c r="D247" s="46"/>
      <c r="E247" s="47"/>
    </row>
    <row r="248" spans="1:5" hidden="1" x14ac:dyDescent="0.25">
      <c r="A248" s="45"/>
      <c r="B248" s="46"/>
      <c r="C248" s="46"/>
      <c r="D248" s="46"/>
      <c r="E248" s="47"/>
    </row>
    <row r="249" spans="1:5" hidden="1" x14ac:dyDescent="0.25">
      <c r="A249" s="45"/>
      <c r="B249" s="46"/>
      <c r="C249" s="46"/>
      <c r="D249" s="46"/>
      <c r="E249" s="47"/>
    </row>
    <row r="250" spans="1:5" hidden="1" x14ac:dyDescent="0.25">
      <c r="A250" s="45"/>
      <c r="B250" s="46"/>
      <c r="C250" s="46"/>
      <c r="D250" s="46"/>
      <c r="E250" s="47"/>
    </row>
    <row r="251" spans="1:5" hidden="1" x14ac:dyDescent="0.25">
      <c r="A251" s="45"/>
      <c r="B251" s="46"/>
      <c r="C251" s="46"/>
      <c r="D251" s="46"/>
      <c r="E251" s="47"/>
    </row>
    <row r="252" spans="1:5" hidden="1" x14ac:dyDescent="0.25">
      <c r="A252" s="45"/>
      <c r="B252" s="46"/>
      <c r="C252" s="46"/>
      <c r="D252" s="46"/>
      <c r="E252" s="47"/>
    </row>
    <row r="253" spans="1:5" hidden="1" x14ac:dyDescent="0.25">
      <c r="A253" s="45"/>
      <c r="B253" s="46"/>
      <c r="C253" s="46"/>
      <c r="D253" s="46"/>
      <c r="E253" s="47"/>
    </row>
    <row r="254" spans="1:5" hidden="1" x14ac:dyDescent="0.25">
      <c r="A254" s="45"/>
      <c r="B254" s="46"/>
      <c r="C254" s="46"/>
      <c r="D254" s="46"/>
      <c r="E254" s="47"/>
    </row>
    <row r="255" spans="1:5" hidden="1" x14ac:dyDescent="0.25">
      <c r="A255" s="45"/>
      <c r="B255" s="46"/>
      <c r="C255" s="46"/>
      <c r="D255" s="46"/>
      <c r="E255" s="47"/>
    </row>
    <row r="256" spans="1:5" hidden="1" x14ac:dyDescent="0.25">
      <c r="A256" s="45"/>
      <c r="B256" s="46"/>
      <c r="C256" s="46"/>
      <c r="D256" s="46"/>
      <c r="E256" s="47"/>
    </row>
    <row r="257" spans="1:5" hidden="1" x14ac:dyDescent="0.25">
      <c r="A257" s="45"/>
      <c r="B257" s="46"/>
      <c r="C257" s="46"/>
      <c r="D257" s="46"/>
      <c r="E257" s="47"/>
    </row>
    <row r="258" spans="1:5" hidden="1" x14ac:dyDescent="0.25">
      <c r="A258" s="45"/>
      <c r="B258" s="46"/>
      <c r="C258" s="46"/>
      <c r="D258" s="46"/>
      <c r="E258" s="47"/>
    </row>
    <row r="259" spans="1:5" hidden="1" x14ac:dyDescent="0.25">
      <c r="A259" s="45"/>
      <c r="B259" s="46"/>
      <c r="C259" s="46"/>
      <c r="D259" s="46"/>
      <c r="E259" s="47"/>
    </row>
    <row r="260" spans="1:5" hidden="1" x14ac:dyDescent="0.25">
      <c r="A260" s="45"/>
      <c r="B260" s="46"/>
      <c r="C260" s="46"/>
      <c r="D260" s="46"/>
      <c r="E260" s="47"/>
    </row>
    <row r="261" spans="1:5" hidden="1" x14ac:dyDescent="0.25">
      <c r="A261" s="45"/>
      <c r="B261" s="46"/>
      <c r="C261" s="46"/>
      <c r="D261" s="46"/>
      <c r="E261" s="47"/>
    </row>
    <row r="262" spans="1:5" hidden="1" x14ac:dyDescent="0.25">
      <c r="A262" s="45"/>
      <c r="B262" s="46"/>
      <c r="C262" s="46"/>
      <c r="D262" s="46"/>
      <c r="E262" s="47"/>
    </row>
    <row r="263" spans="1:5" hidden="1" x14ac:dyDescent="0.25">
      <c r="A263" s="45"/>
      <c r="B263" s="46"/>
      <c r="C263" s="46"/>
      <c r="D263" s="46"/>
      <c r="E263" s="47"/>
    </row>
    <row r="264" spans="1:5" hidden="1" x14ac:dyDescent="0.25">
      <c r="A264" s="45"/>
      <c r="B264" s="46"/>
      <c r="C264" s="46"/>
      <c r="D264" s="46"/>
      <c r="E264" s="47"/>
    </row>
    <row r="265" spans="1:5" hidden="1" x14ac:dyDescent="0.25">
      <c r="A265" s="45"/>
      <c r="B265" s="46"/>
      <c r="C265" s="46"/>
      <c r="D265" s="46"/>
      <c r="E265" s="47"/>
    </row>
    <row r="266" spans="1:5" hidden="1" x14ac:dyDescent="0.25">
      <c r="A266" s="45"/>
      <c r="B266" s="46"/>
      <c r="C266" s="46"/>
      <c r="D266" s="46"/>
      <c r="E266" s="47"/>
    </row>
    <row r="267" spans="1:5" hidden="1" x14ac:dyDescent="0.25">
      <c r="A267" s="45"/>
      <c r="B267" s="46"/>
      <c r="C267" s="46"/>
      <c r="D267" s="46"/>
      <c r="E267" s="47"/>
    </row>
    <row r="268" spans="1:5" hidden="1" x14ac:dyDescent="0.25">
      <c r="A268" s="45"/>
      <c r="B268" s="46"/>
      <c r="C268" s="46"/>
      <c r="D268" s="46"/>
      <c r="E268" s="47"/>
    </row>
    <row r="269" spans="1:5" hidden="1" x14ac:dyDescent="0.25">
      <c r="A269" s="45"/>
      <c r="B269" s="46"/>
      <c r="C269" s="46"/>
      <c r="D269" s="46"/>
      <c r="E269" s="47"/>
    </row>
    <row r="270" spans="1:5" hidden="1" x14ac:dyDescent="0.25">
      <c r="A270" s="45"/>
      <c r="B270" s="46"/>
      <c r="C270" s="46"/>
      <c r="D270" s="46"/>
      <c r="E270" s="47"/>
    </row>
    <row r="271" spans="1:5" hidden="1" x14ac:dyDescent="0.25">
      <c r="A271" s="45"/>
      <c r="B271" s="46"/>
      <c r="C271" s="46"/>
      <c r="D271" s="46"/>
      <c r="E271" s="47"/>
    </row>
    <row r="272" spans="1:5" hidden="1" x14ac:dyDescent="0.25">
      <c r="A272" s="45"/>
      <c r="B272" s="46"/>
      <c r="C272" s="46"/>
      <c r="D272" s="46"/>
      <c r="E272" s="47"/>
    </row>
    <row r="273" spans="1:5" hidden="1" x14ac:dyDescent="0.25">
      <c r="A273" s="45"/>
      <c r="B273" s="46"/>
      <c r="C273" s="46"/>
      <c r="D273" s="46"/>
      <c r="E273" s="47"/>
    </row>
    <row r="274" spans="1:5" hidden="1" x14ac:dyDescent="0.25">
      <c r="A274" s="45"/>
      <c r="B274" s="46"/>
      <c r="C274" s="46"/>
      <c r="D274" s="46"/>
      <c r="E274" s="47"/>
    </row>
    <row r="275" spans="1:5" hidden="1" x14ac:dyDescent="0.25">
      <c r="A275" s="45"/>
      <c r="B275" s="46"/>
      <c r="C275" s="46"/>
      <c r="D275" s="46"/>
      <c r="E275" s="47"/>
    </row>
    <row r="276" spans="1:5" hidden="1" x14ac:dyDescent="0.25">
      <c r="A276" s="45"/>
      <c r="B276" s="46"/>
      <c r="C276" s="46"/>
      <c r="D276" s="46"/>
      <c r="E276" s="47"/>
    </row>
    <row r="277" spans="1:5" hidden="1" x14ac:dyDescent="0.25">
      <c r="A277" s="45"/>
      <c r="B277" s="46"/>
      <c r="C277" s="46"/>
      <c r="D277" s="46"/>
      <c r="E277" s="47"/>
    </row>
    <row r="278" spans="1:5" hidden="1" x14ac:dyDescent="0.25">
      <c r="A278" s="45"/>
      <c r="B278" s="46"/>
      <c r="C278" s="46"/>
      <c r="D278" s="46"/>
      <c r="E278" s="47"/>
    </row>
    <row r="279" spans="1:5" hidden="1" x14ac:dyDescent="0.25">
      <c r="A279" s="45"/>
      <c r="B279" s="46"/>
      <c r="C279" s="46"/>
      <c r="D279" s="46"/>
      <c r="E279" s="47"/>
    </row>
    <row r="280" spans="1:5" hidden="1" x14ac:dyDescent="0.25">
      <c r="A280" s="45"/>
      <c r="B280" s="46"/>
      <c r="C280" s="46"/>
      <c r="D280" s="46"/>
      <c r="E280" s="47"/>
    </row>
    <row r="281" spans="1:5" hidden="1" x14ac:dyDescent="0.25">
      <c r="A281" s="45"/>
      <c r="B281" s="46"/>
      <c r="C281" s="46"/>
      <c r="D281" s="46"/>
      <c r="E281" s="47"/>
    </row>
    <row r="282" spans="1:5" hidden="1" x14ac:dyDescent="0.25">
      <c r="A282" s="45"/>
      <c r="B282" s="46"/>
      <c r="C282" s="46"/>
      <c r="D282" s="46"/>
      <c r="E282" s="47"/>
    </row>
    <row r="283" spans="1:5" hidden="1" x14ac:dyDescent="0.25">
      <c r="A283" s="45"/>
      <c r="B283" s="46"/>
      <c r="C283" s="46"/>
      <c r="D283" s="46"/>
      <c r="E283" s="47"/>
    </row>
    <row r="284" spans="1:5" hidden="1" x14ac:dyDescent="0.25">
      <c r="A284" s="45"/>
      <c r="B284" s="46"/>
      <c r="C284" s="46"/>
      <c r="D284" s="46"/>
      <c r="E284" s="47"/>
    </row>
    <row r="285" spans="1:5" hidden="1" x14ac:dyDescent="0.25">
      <c r="A285" s="45"/>
      <c r="B285" s="46"/>
      <c r="C285" s="46"/>
      <c r="D285" s="46"/>
      <c r="E285" s="47"/>
    </row>
    <row r="286" spans="1:5" hidden="1" x14ac:dyDescent="0.25">
      <c r="A286" s="45"/>
      <c r="B286" s="46"/>
      <c r="C286" s="46"/>
      <c r="D286" s="46"/>
      <c r="E286" s="47"/>
    </row>
    <row r="287" spans="1:5" hidden="1" x14ac:dyDescent="0.25">
      <c r="A287" s="45"/>
      <c r="B287" s="46"/>
      <c r="C287" s="46"/>
      <c r="D287" s="46"/>
      <c r="E287" s="47"/>
    </row>
    <row r="288" spans="1:5" hidden="1" x14ac:dyDescent="0.25">
      <c r="A288" s="45"/>
      <c r="B288" s="46"/>
      <c r="C288" s="46"/>
      <c r="D288" s="46"/>
      <c r="E288" s="47"/>
    </row>
    <row r="289" spans="1:5" hidden="1" x14ac:dyDescent="0.25">
      <c r="A289" s="45"/>
      <c r="B289" s="46"/>
      <c r="C289" s="46"/>
      <c r="D289" s="46"/>
      <c r="E289" s="47"/>
    </row>
    <row r="290" spans="1:5" hidden="1" x14ac:dyDescent="0.25">
      <c r="A290" s="45"/>
      <c r="B290" s="46"/>
      <c r="C290" s="46"/>
      <c r="D290" s="46"/>
      <c r="E290" s="47"/>
    </row>
    <row r="291" spans="1:5" hidden="1" x14ac:dyDescent="0.25">
      <c r="A291" s="45"/>
      <c r="B291" s="46"/>
      <c r="C291" s="46"/>
      <c r="D291" s="46"/>
      <c r="E291" s="47"/>
    </row>
    <row r="292" spans="1:5" hidden="1" x14ac:dyDescent="0.25">
      <c r="A292" s="45"/>
      <c r="B292" s="46"/>
      <c r="C292" s="46"/>
      <c r="D292" s="46"/>
      <c r="E292" s="47"/>
    </row>
    <row r="293" spans="1:5" hidden="1" x14ac:dyDescent="0.25">
      <c r="A293" s="45"/>
      <c r="B293" s="46"/>
      <c r="C293" s="46"/>
      <c r="D293" s="46"/>
      <c r="E293" s="47"/>
    </row>
    <row r="294" spans="1:5" hidden="1" x14ac:dyDescent="0.25">
      <c r="A294" s="45"/>
      <c r="B294" s="46"/>
      <c r="C294" s="46"/>
      <c r="D294" s="46"/>
      <c r="E294" s="47"/>
    </row>
    <row r="295" spans="1:5" hidden="1" x14ac:dyDescent="0.25">
      <c r="A295" s="45"/>
      <c r="B295" s="46"/>
      <c r="C295" s="46"/>
      <c r="D295" s="46"/>
      <c r="E295" s="47"/>
    </row>
    <row r="296" spans="1:5" hidden="1" x14ac:dyDescent="0.25">
      <c r="A296" s="45"/>
      <c r="B296" s="46"/>
      <c r="C296" s="46"/>
      <c r="D296" s="46"/>
      <c r="E296" s="47"/>
    </row>
    <row r="297" spans="1:5" hidden="1" x14ac:dyDescent="0.25">
      <c r="A297" s="45"/>
      <c r="B297" s="46"/>
      <c r="C297" s="46"/>
      <c r="D297" s="46"/>
      <c r="E297" s="47"/>
    </row>
    <row r="298" spans="1:5" hidden="1" x14ac:dyDescent="0.25">
      <c r="A298" s="45"/>
      <c r="B298" s="46"/>
      <c r="C298" s="46"/>
      <c r="D298" s="46"/>
      <c r="E298" s="47"/>
    </row>
    <row r="299" spans="1:5" hidden="1" x14ac:dyDescent="0.25">
      <c r="A299" s="45"/>
      <c r="B299" s="46"/>
      <c r="C299" s="46"/>
      <c r="D299" s="46"/>
      <c r="E299" s="47"/>
    </row>
    <row r="300" spans="1:5" hidden="1" x14ac:dyDescent="0.25">
      <c r="A300" s="45"/>
      <c r="B300" s="46"/>
      <c r="C300" s="46"/>
      <c r="D300" s="46"/>
      <c r="E300" s="47"/>
    </row>
    <row r="301" spans="1:5" hidden="1" x14ac:dyDescent="0.25">
      <c r="A301" s="45"/>
      <c r="B301" s="46"/>
      <c r="C301" s="46"/>
      <c r="D301" s="46"/>
      <c r="E301" s="47"/>
    </row>
    <row r="302" spans="1:5" hidden="1" x14ac:dyDescent="0.25">
      <c r="A302" s="45"/>
      <c r="B302" s="46"/>
      <c r="C302" s="46"/>
      <c r="D302" s="46"/>
      <c r="E302" s="47"/>
    </row>
    <row r="303" spans="1:5" hidden="1" x14ac:dyDescent="0.25">
      <c r="A303" s="45"/>
      <c r="B303" s="46"/>
      <c r="C303" s="46"/>
      <c r="D303" s="46"/>
      <c r="E303" s="47"/>
    </row>
    <row r="304" spans="1:5" hidden="1" x14ac:dyDescent="0.25">
      <c r="A304" s="45"/>
      <c r="B304" s="46"/>
      <c r="C304" s="46"/>
      <c r="D304" s="46"/>
      <c r="E304" s="47"/>
    </row>
    <row r="305" spans="1:5" hidden="1" x14ac:dyDescent="0.25">
      <c r="A305" s="45"/>
      <c r="B305" s="46"/>
      <c r="C305" s="46"/>
      <c r="D305" s="46"/>
      <c r="E305" s="47"/>
    </row>
    <row r="306" spans="1:5" hidden="1" x14ac:dyDescent="0.25">
      <c r="A306" s="45"/>
      <c r="B306" s="46"/>
      <c r="C306" s="46"/>
      <c r="D306" s="46"/>
      <c r="E306" s="47"/>
    </row>
    <row r="307" spans="1:5" hidden="1" x14ac:dyDescent="0.25">
      <c r="A307" s="45"/>
      <c r="B307" s="46"/>
      <c r="C307" s="46"/>
      <c r="D307" s="46"/>
      <c r="E307" s="47"/>
    </row>
    <row r="308" spans="1:5" hidden="1" x14ac:dyDescent="0.25">
      <c r="A308" s="45"/>
      <c r="B308" s="46"/>
      <c r="C308" s="46"/>
      <c r="D308" s="46"/>
      <c r="E308" s="47"/>
    </row>
    <row r="309" spans="1:5" hidden="1" x14ac:dyDescent="0.25">
      <c r="A309" s="45"/>
      <c r="B309" s="46"/>
      <c r="C309" s="46"/>
      <c r="D309" s="46"/>
      <c r="E309" s="47"/>
    </row>
    <row r="310" spans="1:5" hidden="1" x14ac:dyDescent="0.25">
      <c r="A310" s="45"/>
      <c r="B310" s="46"/>
      <c r="C310" s="46"/>
      <c r="D310" s="46"/>
      <c r="E310" s="47"/>
    </row>
    <row r="311" spans="1:5" hidden="1" x14ac:dyDescent="0.25">
      <c r="A311" s="45"/>
      <c r="B311" s="46"/>
      <c r="C311" s="46"/>
      <c r="D311" s="46"/>
      <c r="E311" s="47"/>
    </row>
    <row r="312" spans="1:5" hidden="1" x14ac:dyDescent="0.25">
      <c r="A312" s="45"/>
      <c r="B312" s="46"/>
      <c r="C312" s="46"/>
      <c r="D312" s="46"/>
      <c r="E312" s="47"/>
    </row>
    <row r="313" spans="1:5" hidden="1" x14ac:dyDescent="0.25">
      <c r="A313" s="45"/>
      <c r="B313" s="46"/>
      <c r="C313" s="46"/>
      <c r="D313" s="46"/>
      <c r="E313" s="47"/>
    </row>
    <row r="314" spans="1:5" hidden="1" x14ac:dyDescent="0.25">
      <c r="A314" s="45"/>
      <c r="B314" s="46"/>
      <c r="C314" s="46"/>
      <c r="D314" s="46"/>
      <c r="E314" s="47"/>
    </row>
    <row r="315" spans="1:5" hidden="1" x14ac:dyDescent="0.25">
      <c r="A315" s="45"/>
      <c r="B315" s="46"/>
      <c r="C315" s="46"/>
      <c r="D315" s="46"/>
      <c r="E315" s="47"/>
    </row>
    <row r="316" spans="1:5" hidden="1" x14ac:dyDescent="0.25">
      <c r="A316" s="45"/>
      <c r="B316" s="46"/>
      <c r="C316" s="46"/>
      <c r="D316" s="46"/>
      <c r="E316" s="47"/>
    </row>
    <row r="317" spans="1:5" hidden="1" x14ac:dyDescent="0.25">
      <c r="A317" s="45"/>
      <c r="B317" s="46"/>
      <c r="C317" s="46"/>
      <c r="D317" s="46"/>
      <c r="E317" s="47"/>
    </row>
    <row r="318" spans="1:5" hidden="1" x14ac:dyDescent="0.25">
      <c r="A318" s="45"/>
      <c r="B318" s="46"/>
      <c r="C318" s="46"/>
      <c r="D318" s="46"/>
      <c r="E318" s="47"/>
    </row>
    <row r="319" spans="1:5" hidden="1" x14ac:dyDescent="0.25">
      <c r="A319" s="45"/>
      <c r="B319" s="46"/>
      <c r="C319" s="46"/>
      <c r="D319" s="46"/>
      <c r="E319" s="47"/>
    </row>
    <row r="320" spans="1:5" hidden="1" x14ac:dyDescent="0.25">
      <c r="A320" s="45"/>
      <c r="B320" s="46"/>
      <c r="C320" s="46"/>
      <c r="D320" s="46"/>
      <c r="E320" s="47"/>
    </row>
    <row r="321" spans="1:5" hidden="1" x14ac:dyDescent="0.25">
      <c r="A321" s="45"/>
      <c r="B321" s="46"/>
      <c r="C321" s="46"/>
      <c r="D321" s="46"/>
      <c r="E321" s="47"/>
    </row>
    <row r="322" spans="1:5" hidden="1" x14ac:dyDescent="0.25">
      <c r="A322" s="45"/>
      <c r="B322" s="46"/>
      <c r="C322" s="46"/>
      <c r="D322" s="46"/>
      <c r="E322" s="47"/>
    </row>
    <row r="323" spans="1:5" hidden="1" x14ac:dyDescent="0.25">
      <c r="A323" s="45"/>
      <c r="B323" s="46"/>
      <c r="C323" s="46"/>
      <c r="D323" s="46"/>
      <c r="E323" s="47"/>
    </row>
    <row r="324" spans="1:5" hidden="1" x14ac:dyDescent="0.25">
      <c r="A324" s="45"/>
      <c r="B324" s="46"/>
      <c r="C324" s="46"/>
      <c r="D324" s="46"/>
      <c r="E324" s="47"/>
    </row>
    <row r="325" spans="1:5" hidden="1" x14ac:dyDescent="0.25">
      <c r="A325" s="45"/>
      <c r="B325" s="46"/>
      <c r="C325" s="46"/>
      <c r="D325" s="46"/>
      <c r="E325" s="47"/>
    </row>
    <row r="326" spans="1:5" hidden="1" x14ac:dyDescent="0.25">
      <c r="A326" s="45"/>
      <c r="B326" s="46"/>
      <c r="C326" s="46"/>
      <c r="D326" s="46"/>
      <c r="E326" s="47"/>
    </row>
    <row r="327" spans="1:5" hidden="1" x14ac:dyDescent="0.25">
      <c r="A327" s="45"/>
      <c r="B327" s="46"/>
      <c r="C327" s="46"/>
      <c r="D327" s="46"/>
      <c r="E327" s="47"/>
    </row>
    <row r="328" spans="1:5" hidden="1" x14ac:dyDescent="0.25">
      <c r="A328" s="45"/>
      <c r="B328" s="46"/>
      <c r="C328" s="46"/>
      <c r="D328" s="46"/>
      <c r="E328" s="47"/>
    </row>
    <row r="329" spans="1:5" hidden="1" x14ac:dyDescent="0.25">
      <c r="A329" s="45"/>
      <c r="B329" s="46"/>
      <c r="C329" s="46"/>
      <c r="D329" s="46"/>
      <c r="E329" s="47"/>
    </row>
    <row r="330" spans="1:5" hidden="1" x14ac:dyDescent="0.25">
      <c r="A330" s="45"/>
      <c r="B330" s="46"/>
      <c r="C330" s="46"/>
      <c r="D330" s="46"/>
      <c r="E330" s="47"/>
    </row>
    <row r="331" spans="1:5" hidden="1" x14ac:dyDescent="0.25">
      <c r="A331" s="45"/>
      <c r="B331" s="46"/>
      <c r="C331" s="46"/>
      <c r="D331" s="46"/>
      <c r="E331" s="47"/>
    </row>
    <row r="332" spans="1:5" hidden="1" x14ac:dyDescent="0.25">
      <c r="A332" s="45"/>
      <c r="B332" s="46"/>
      <c r="C332" s="46"/>
      <c r="D332" s="46"/>
      <c r="E332" s="47"/>
    </row>
    <row r="333" spans="1:5" hidden="1" x14ac:dyDescent="0.25">
      <c r="A333" s="45"/>
      <c r="B333" s="46"/>
      <c r="C333" s="46"/>
      <c r="D333" s="46"/>
      <c r="E333" s="47"/>
    </row>
    <row r="334" spans="1:5" hidden="1" x14ac:dyDescent="0.25">
      <c r="A334" s="45"/>
      <c r="B334" s="46"/>
      <c r="C334" s="46"/>
      <c r="D334" s="46"/>
      <c r="E334" s="47"/>
    </row>
    <row r="335" spans="1:5" hidden="1" x14ac:dyDescent="0.25">
      <c r="A335" s="45"/>
      <c r="B335" s="46"/>
      <c r="C335" s="46"/>
      <c r="D335" s="46"/>
      <c r="E335" s="47"/>
    </row>
    <row r="336" spans="1:5" hidden="1" x14ac:dyDescent="0.25">
      <c r="A336" s="45"/>
      <c r="B336" s="46"/>
      <c r="C336" s="46"/>
      <c r="D336" s="46"/>
      <c r="E336" s="47"/>
    </row>
    <row r="337" spans="1:5" hidden="1" x14ac:dyDescent="0.25">
      <c r="A337" s="45"/>
      <c r="B337" s="46"/>
      <c r="C337" s="46"/>
      <c r="D337" s="46"/>
      <c r="E337" s="47"/>
    </row>
    <row r="338" spans="1:5" hidden="1" x14ac:dyDescent="0.25">
      <c r="A338" s="45"/>
      <c r="B338" s="46"/>
      <c r="C338" s="46"/>
      <c r="D338" s="46"/>
      <c r="E338" s="47"/>
    </row>
    <row r="339" spans="1:5" hidden="1" x14ac:dyDescent="0.25">
      <c r="A339" s="45"/>
      <c r="B339" s="46"/>
      <c r="C339" s="46"/>
      <c r="D339" s="46"/>
      <c r="E339" s="47"/>
    </row>
    <row r="340" spans="1:5" hidden="1" x14ac:dyDescent="0.25">
      <c r="A340" s="45"/>
      <c r="B340" s="46"/>
      <c r="C340" s="46"/>
      <c r="D340" s="46"/>
      <c r="E340" s="47"/>
    </row>
    <row r="341" spans="1:5" hidden="1" x14ac:dyDescent="0.25">
      <c r="A341" s="45"/>
      <c r="B341" s="46"/>
      <c r="C341" s="46"/>
      <c r="D341" s="46"/>
      <c r="E341" s="47"/>
    </row>
    <row r="342" spans="1:5" hidden="1" x14ac:dyDescent="0.25">
      <c r="A342" s="45"/>
      <c r="B342" s="46"/>
      <c r="C342" s="46"/>
      <c r="D342" s="46"/>
      <c r="E342" s="47"/>
    </row>
    <row r="343" spans="1:5" hidden="1" x14ac:dyDescent="0.25">
      <c r="A343" s="45"/>
      <c r="B343" s="46"/>
      <c r="C343" s="46"/>
      <c r="D343" s="46"/>
      <c r="E343" s="47"/>
    </row>
    <row r="344" spans="1:5" hidden="1" x14ac:dyDescent="0.25">
      <c r="A344" s="45"/>
      <c r="B344" s="46"/>
      <c r="C344" s="46"/>
      <c r="D344" s="46"/>
      <c r="E344" s="47"/>
    </row>
    <row r="345" spans="1:5" hidden="1" x14ac:dyDescent="0.25">
      <c r="A345" s="45"/>
      <c r="B345" s="46"/>
      <c r="C345" s="46"/>
      <c r="D345" s="46"/>
      <c r="E345" s="47"/>
    </row>
    <row r="346" spans="1:5" hidden="1" x14ac:dyDescent="0.25">
      <c r="A346" s="45"/>
      <c r="B346" s="46"/>
      <c r="C346" s="46"/>
      <c r="D346" s="46"/>
      <c r="E346" s="47"/>
    </row>
    <row r="347" spans="1:5" hidden="1" x14ac:dyDescent="0.25">
      <c r="A347" s="45"/>
      <c r="B347" s="46"/>
      <c r="C347" s="46"/>
      <c r="D347" s="46"/>
      <c r="E347" s="47"/>
    </row>
    <row r="348" spans="1:5" hidden="1" x14ac:dyDescent="0.25">
      <c r="A348" s="45"/>
      <c r="B348" s="46"/>
      <c r="C348" s="46"/>
      <c r="D348" s="46"/>
      <c r="E348" s="47"/>
    </row>
    <row r="349" spans="1:5" hidden="1" x14ac:dyDescent="0.25">
      <c r="A349" s="45"/>
      <c r="B349" s="46"/>
      <c r="C349" s="46"/>
      <c r="D349" s="46"/>
      <c r="E349" s="47"/>
    </row>
    <row r="350" spans="1:5" hidden="1" x14ac:dyDescent="0.25">
      <c r="A350" s="45"/>
      <c r="B350" s="46"/>
      <c r="C350" s="46"/>
      <c r="D350" s="46"/>
      <c r="E350" s="47"/>
    </row>
    <row r="351" spans="1:5" hidden="1" x14ac:dyDescent="0.25">
      <c r="A351" s="45"/>
      <c r="B351" s="46"/>
      <c r="C351" s="46"/>
      <c r="D351" s="46"/>
      <c r="E351" s="47"/>
    </row>
    <row r="352" spans="1:5" hidden="1" x14ac:dyDescent="0.25">
      <c r="A352" s="45"/>
      <c r="B352" s="46"/>
      <c r="C352" s="46"/>
      <c r="D352" s="46"/>
      <c r="E352" s="47"/>
    </row>
    <row r="353" spans="1:5" hidden="1" x14ac:dyDescent="0.25">
      <c r="A353" s="45"/>
      <c r="B353" s="46"/>
      <c r="C353" s="46"/>
      <c r="D353" s="46"/>
      <c r="E353" s="47"/>
    </row>
    <row r="354" spans="1:5" hidden="1" x14ac:dyDescent="0.25">
      <c r="A354" s="45"/>
      <c r="B354" s="46"/>
      <c r="C354" s="46"/>
      <c r="D354" s="46"/>
      <c r="E354" s="47"/>
    </row>
    <row r="355" spans="1:5" hidden="1" x14ac:dyDescent="0.25">
      <c r="A355" s="45"/>
      <c r="B355" s="46"/>
      <c r="C355" s="46"/>
      <c r="D355" s="46"/>
      <c r="E355" s="47"/>
    </row>
    <row r="356" spans="1:5" hidden="1" x14ac:dyDescent="0.25">
      <c r="A356" s="45"/>
      <c r="B356" s="46"/>
      <c r="C356" s="46"/>
      <c r="D356" s="46"/>
      <c r="E356" s="47"/>
    </row>
    <row r="357" spans="1:5" hidden="1" x14ac:dyDescent="0.25">
      <c r="A357" s="45"/>
      <c r="B357" s="46"/>
      <c r="C357" s="46"/>
      <c r="D357" s="46"/>
      <c r="E357" s="47"/>
    </row>
    <row r="358" spans="1:5" hidden="1" x14ac:dyDescent="0.25">
      <c r="A358" s="45"/>
      <c r="B358" s="46"/>
      <c r="C358" s="46"/>
      <c r="D358" s="46"/>
      <c r="E358" s="47"/>
    </row>
    <row r="359" spans="1:5" hidden="1" x14ac:dyDescent="0.25">
      <c r="A359" s="45"/>
      <c r="B359" s="46"/>
      <c r="C359" s="46"/>
      <c r="D359" s="46"/>
      <c r="E359" s="47"/>
    </row>
    <row r="360" spans="1:5" hidden="1" x14ac:dyDescent="0.25">
      <c r="A360" s="45"/>
      <c r="B360" s="46"/>
      <c r="C360" s="46"/>
      <c r="D360" s="46"/>
      <c r="E360" s="47"/>
    </row>
    <row r="361" spans="1:5" hidden="1" x14ac:dyDescent="0.25">
      <c r="A361" s="45"/>
      <c r="B361" s="46"/>
      <c r="C361" s="46"/>
      <c r="D361" s="46"/>
      <c r="E361" s="47"/>
    </row>
    <row r="362" spans="1:5" hidden="1" x14ac:dyDescent="0.25">
      <c r="A362" s="45"/>
      <c r="B362" s="46"/>
      <c r="C362" s="46"/>
      <c r="D362" s="46"/>
      <c r="E362" s="47"/>
    </row>
    <row r="363" spans="1:5" hidden="1" x14ac:dyDescent="0.25">
      <c r="A363" s="45"/>
      <c r="B363" s="46"/>
      <c r="C363" s="46"/>
      <c r="D363" s="46"/>
      <c r="E363" s="47"/>
    </row>
    <row r="364" spans="1:5" hidden="1" x14ac:dyDescent="0.25">
      <c r="A364" s="45"/>
      <c r="B364" s="46"/>
      <c r="C364" s="46"/>
      <c r="D364" s="46"/>
      <c r="E364" s="47"/>
    </row>
    <row r="365" spans="1:5" hidden="1" x14ac:dyDescent="0.25">
      <c r="A365" s="45"/>
      <c r="B365" s="46"/>
      <c r="C365" s="46"/>
      <c r="D365" s="46"/>
      <c r="E365" s="47"/>
    </row>
    <row r="366" spans="1:5" hidden="1" x14ac:dyDescent="0.25">
      <c r="A366" s="45"/>
      <c r="B366" s="46"/>
      <c r="C366" s="46"/>
      <c r="D366" s="46"/>
      <c r="E366" s="47"/>
    </row>
    <row r="367" spans="1:5" hidden="1" x14ac:dyDescent="0.25">
      <c r="A367" s="45"/>
      <c r="B367" s="46"/>
      <c r="C367" s="46"/>
      <c r="D367" s="46"/>
      <c r="E367" s="47"/>
    </row>
    <row r="368" spans="1:5" hidden="1" x14ac:dyDescent="0.25">
      <c r="A368" s="45"/>
      <c r="B368" s="46"/>
      <c r="C368" s="46"/>
      <c r="D368" s="46"/>
      <c r="E368" s="47"/>
    </row>
    <row r="369" spans="1:5" hidden="1" x14ac:dyDescent="0.25">
      <c r="A369" s="45"/>
      <c r="B369" s="46"/>
      <c r="C369" s="46"/>
      <c r="D369" s="46"/>
      <c r="E369" s="47"/>
    </row>
    <row r="370" spans="1:5" hidden="1" x14ac:dyDescent="0.25">
      <c r="A370" s="45"/>
      <c r="B370" s="46"/>
      <c r="C370" s="46"/>
      <c r="D370" s="46"/>
      <c r="E370" s="47"/>
    </row>
    <row r="371" spans="1:5" hidden="1" x14ac:dyDescent="0.25">
      <c r="A371" s="45"/>
      <c r="B371" s="46"/>
      <c r="C371" s="46"/>
      <c r="D371" s="46"/>
      <c r="E371" s="47"/>
    </row>
    <row r="372" spans="1:5" hidden="1" x14ac:dyDescent="0.25">
      <c r="A372" s="45"/>
      <c r="B372" s="46"/>
      <c r="C372" s="46"/>
      <c r="D372" s="46"/>
      <c r="E372" s="47"/>
    </row>
    <row r="373" spans="1:5" hidden="1" x14ac:dyDescent="0.25">
      <c r="A373" s="45"/>
      <c r="B373" s="46"/>
      <c r="C373" s="46"/>
      <c r="D373" s="46"/>
      <c r="E373" s="47"/>
    </row>
    <row r="374" spans="1:5" hidden="1" x14ac:dyDescent="0.25">
      <c r="A374" s="45"/>
      <c r="B374" s="46"/>
      <c r="C374" s="46"/>
      <c r="D374" s="46"/>
      <c r="E374" s="47"/>
    </row>
    <row r="375" spans="1:5" hidden="1" x14ac:dyDescent="0.25">
      <c r="A375" s="45"/>
      <c r="B375" s="46"/>
      <c r="C375" s="46"/>
      <c r="D375" s="46"/>
      <c r="E375" s="47"/>
    </row>
    <row r="376" spans="1:5" hidden="1" x14ac:dyDescent="0.25">
      <c r="A376" s="45"/>
      <c r="B376" s="46"/>
      <c r="C376" s="46"/>
      <c r="D376" s="46"/>
      <c r="E376" s="47"/>
    </row>
    <row r="377" spans="1:5" hidden="1" x14ac:dyDescent="0.25">
      <c r="A377" s="45"/>
      <c r="B377" s="46"/>
      <c r="C377" s="46"/>
      <c r="D377" s="46"/>
      <c r="E377" s="47"/>
    </row>
    <row r="378" spans="1:5" hidden="1" x14ac:dyDescent="0.25">
      <c r="A378" s="45"/>
      <c r="B378" s="46"/>
      <c r="C378" s="46"/>
      <c r="D378" s="46"/>
      <c r="E378" s="47"/>
    </row>
    <row r="379" spans="1:5" hidden="1" x14ac:dyDescent="0.25">
      <c r="A379" s="45"/>
      <c r="B379" s="46"/>
      <c r="C379" s="46"/>
      <c r="D379" s="46"/>
      <c r="E379" s="47"/>
    </row>
    <row r="380" spans="1:5" hidden="1" x14ac:dyDescent="0.25">
      <c r="A380" s="45"/>
      <c r="B380" s="46"/>
      <c r="C380" s="46"/>
      <c r="D380" s="46"/>
      <c r="E380" s="47"/>
    </row>
    <row r="381" spans="1:5" hidden="1" x14ac:dyDescent="0.25">
      <c r="A381" s="45"/>
      <c r="B381" s="46"/>
      <c r="C381" s="46"/>
      <c r="D381" s="46"/>
      <c r="E381" s="47"/>
    </row>
    <row r="382" spans="1:5" hidden="1" x14ac:dyDescent="0.25">
      <c r="A382" s="45"/>
      <c r="B382" s="46"/>
      <c r="C382" s="46"/>
      <c r="D382" s="46"/>
      <c r="E382" s="47"/>
    </row>
    <row r="383" spans="1:5" hidden="1" x14ac:dyDescent="0.25">
      <c r="A383" s="45"/>
      <c r="B383" s="46"/>
      <c r="C383" s="46"/>
      <c r="D383" s="46"/>
      <c r="E383" s="47"/>
    </row>
    <row r="384" spans="1:5" hidden="1" x14ac:dyDescent="0.25">
      <c r="A384" s="45"/>
      <c r="B384" s="46"/>
      <c r="C384" s="46"/>
      <c r="D384" s="46"/>
      <c r="E384" s="47"/>
    </row>
    <row r="385" spans="1:5" hidden="1" x14ac:dyDescent="0.25">
      <c r="A385" s="45"/>
      <c r="B385" s="46"/>
      <c r="C385" s="46"/>
      <c r="D385" s="46"/>
      <c r="E385" s="47"/>
    </row>
    <row r="386" spans="1:5" hidden="1" x14ac:dyDescent="0.25">
      <c r="A386" s="45"/>
      <c r="B386" s="46"/>
      <c r="C386" s="46"/>
      <c r="D386" s="46"/>
      <c r="E386" s="47"/>
    </row>
    <row r="387" spans="1:5" hidden="1" x14ac:dyDescent="0.25">
      <c r="A387" s="45"/>
      <c r="B387" s="46"/>
      <c r="C387" s="46"/>
      <c r="D387" s="46"/>
      <c r="E387" s="47"/>
    </row>
    <row r="388" spans="1:5" hidden="1" x14ac:dyDescent="0.25">
      <c r="A388" s="45"/>
      <c r="B388" s="46"/>
      <c r="C388" s="46"/>
      <c r="D388" s="46"/>
      <c r="E388" s="47"/>
    </row>
    <row r="389" spans="1:5" hidden="1" x14ac:dyDescent="0.25">
      <c r="A389" s="45"/>
      <c r="B389" s="46"/>
      <c r="C389" s="46"/>
      <c r="D389" s="46"/>
      <c r="E389" s="47"/>
    </row>
    <row r="390" spans="1:5" hidden="1" x14ac:dyDescent="0.25">
      <c r="A390" s="45"/>
      <c r="B390" s="46"/>
      <c r="C390" s="46"/>
      <c r="D390" s="46"/>
      <c r="E390" s="47"/>
    </row>
    <row r="391" spans="1:5" hidden="1" x14ac:dyDescent="0.25">
      <c r="A391" s="45"/>
      <c r="B391" s="46"/>
      <c r="C391" s="46"/>
      <c r="D391" s="46"/>
      <c r="E391" s="47"/>
    </row>
    <row r="392" spans="1:5" hidden="1" x14ac:dyDescent="0.25">
      <c r="A392" s="45"/>
      <c r="B392" s="46"/>
      <c r="C392" s="46"/>
      <c r="D392" s="46"/>
      <c r="E392" s="47"/>
    </row>
    <row r="393" spans="1:5" hidden="1" x14ac:dyDescent="0.25">
      <c r="A393" s="45"/>
      <c r="B393" s="46"/>
      <c r="C393" s="46"/>
      <c r="D393" s="46"/>
      <c r="E393" s="47"/>
    </row>
    <row r="394" spans="1:5" hidden="1" x14ac:dyDescent="0.25">
      <c r="A394" s="45"/>
      <c r="B394" s="46"/>
      <c r="C394" s="46"/>
      <c r="D394" s="46"/>
      <c r="E394" s="47"/>
    </row>
    <row r="395" spans="1:5" hidden="1" x14ac:dyDescent="0.25">
      <c r="A395" s="45"/>
      <c r="B395" s="46"/>
      <c r="C395" s="46"/>
      <c r="D395" s="46"/>
      <c r="E395" s="47"/>
    </row>
    <row r="396" spans="1:5" hidden="1" x14ac:dyDescent="0.25">
      <c r="A396" s="45"/>
      <c r="B396" s="46"/>
      <c r="C396" s="46"/>
      <c r="D396" s="46"/>
      <c r="E396" s="47"/>
    </row>
    <row r="397" spans="1:5" hidden="1" x14ac:dyDescent="0.25">
      <c r="A397" s="45"/>
      <c r="B397" s="46"/>
      <c r="C397" s="46"/>
      <c r="D397" s="46"/>
      <c r="E397" s="47"/>
    </row>
    <row r="398" spans="1:5" hidden="1" x14ac:dyDescent="0.25">
      <c r="A398" s="45"/>
      <c r="B398" s="46"/>
      <c r="C398" s="46"/>
      <c r="D398" s="46"/>
      <c r="E398" s="47"/>
    </row>
    <row r="399" spans="1:5" hidden="1" x14ac:dyDescent="0.25">
      <c r="A399" s="45"/>
      <c r="B399" s="46"/>
      <c r="C399" s="46"/>
      <c r="D399" s="46"/>
      <c r="E399" s="47"/>
    </row>
    <row r="400" spans="1:5" hidden="1" x14ac:dyDescent="0.25">
      <c r="A400" s="45"/>
      <c r="B400" s="46"/>
      <c r="C400" s="46"/>
      <c r="D400" s="46"/>
      <c r="E400" s="47"/>
    </row>
    <row r="401" spans="1:5" hidden="1" x14ac:dyDescent="0.25">
      <c r="A401" s="45"/>
      <c r="B401" s="46"/>
      <c r="C401" s="46"/>
      <c r="D401" s="46"/>
      <c r="E401" s="47"/>
    </row>
    <row r="402" spans="1:5" hidden="1" x14ac:dyDescent="0.25">
      <c r="A402" s="45"/>
      <c r="B402" s="46"/>
      <c r="C402" s="46"/>
      <c r="D402" s="46"/>
      <c r="E402" s="47"/>
    </row>
    <row r="403" spans="1:5" hidden="1" x14ac:dyDescent="0.25">
      <c r="A403" s="45"/>
      <c r="B403" s="46"/>
      <c r="C403" s="46"/>
      <c r="D403" s="46"/>
      <c r="E403" s="47"/>
    </row>
    <row r="404" spans="1:5" hidden="1" x14ac:dyDescent="0.25">
      <c r="A404" s="45"/>
      <c r="B404" s="46"/>
      <c r="C404" s="46"/>
      <c r="D404" s="46"/>
      <c r="E404" s="47"/>
    </row>
    <row r="405" spans="1:5" hidden="1" x14ac:dyDescent="0.25">
      <c r="A405" s="45"/>
      <c r="B405" s="46"/>
      <c r="C405" s="46"/>
      <c r="D405" s="46"/>
      <c r="E405" s="47"/>
    </row>
    <row r="406" spans="1:5" hidden="1" x14ac:dyDescent="0.25">
      <c r="A406" s="45"/>
      <c r="B406" s="46"/>
      <c r="C406" s="46"/>
      <c r="D406" s="46"/>
      <c r="E406" s="47"/>
    </row>
    <row r="407" spans="1:5" hidden="1" x14ac:dyDescent="0.25">
      <c r="A407" s="45"/>
      <c r="B407" s="46"/>
      <c r="C407" s="46"/>
      <c r="D407" s="46"/>
      <c r="E407" s="47"/>
    </row>
    <row r="408" spans="1:5" hidden="1" x14ac:dyDescent="0.25">
      <c r="A408" s="45"/>
      <c r="B408" s="46"/>
      <c r="C408" s="46"/>
      <c r="D408" s="46"/>
      <c r="E408" s="47"/>
    </row>
    <row r="409" spans="1:5" hidden="1" x14ac:dyDescent="0.25">
      <c r="A409" s="45"/>
      <c r="B409" s="46"/>
      <c r="C409" s="46"/>
      <c r="D409" s="46"/>
      <c r="E409" s="47"/>
    </row>
    <row r="410" spans="1:5" hidden="1" x14ac:dyDescent="0.25">
      <c r="A410" s="45"/>
      <c r="B410" s="46"/>
      <c r="C410" s="46"/>
      <c r="D410" s="46"/>
      <c r="E410" s="47"/>
    </row>
    <row r="411" spans="1:5" hidden="1" x14ac:dyDescent="0.25">
      <c r="A411" s="45"/>
      <c r="B411" s="46"/>
      <c r="C411" s="46"/>
      <c r="D411" s="46"/>
      <c r="E411" s="47"/>
    </row>
    <row r="412" spans="1:5" hidden="1" x14ac:dyDescent="0.25">
      <c r="A412" s="45"/>
      <c r="B412" s="46"/>
      <c r="C412" s="46"/>
      <c r="D412" s="46"/>
      <c r="E412" s="47"/>
    </row>
    <row r="413" spans="1:5" hidden="1" x14ac:dyDescent="0.25">
      <c r="A413" s="45"/>
      <c r="B413" s="46"/>
      <c r="C413" s="46"/>
      <c r="D413" s="46"/>
      <c r="E413" s="47"/>
    </row>
    <row r="414" spans="1:5" hidden="1" x14ac:dyDescent="0.25">
      <c r="A414" s="45"/>
      <c r="B414" s="46"/>
      <c r="C414" s="46"/>
      <c r="D414" s="46"/>
      <c r="E414" s="47"/>
    </row>
    <row r="415" spans="1:5" hidden="1" x14ac:dyDescent="0.25">
      <c r="A415" s="45"/>
      <c r="B415" s="46"/>
      <c r="C415" s="46"/>
      <c r="D415" s="46"/>
      <c r="E415" s="47"/>
    </row>
    <row r="416" spans="1:5" hidden="1" x14ac:dyDescent="0.25">
      <c r="A416" s="45"/>
      <c r="B416" s="46"/>
      <c r="C416" s="46"/>
      <c r="D416" s="46"/>
      <c r="E416" s="47"/>
    </row>
    <row r="417" spans="1:5" hidden="1" x14ac:dyDescent="0.25">
      <c r="A417" s="45"/>
      <c r="B417" s="46"/>
      <c r="C417" s="46"/>
      <c r="D417" s="46"/>
      <c r="E417" s="47"/>
    </row>
    <row r="418" spans="1:5" hidden="1" x14ac:dyDescent="0.25">
      <c r="A418" s="45"/>
      <c r="B418" s="46"/>
      <c r="C418" s="46"/>
      <c r="D418" s="46"/>
      <c r="E418" s="47"/>
    </row>
    <row r="419" spans="1:5" hidden="1" x14ac:dyDescent="0.25">
      <c r="A419" s="45"/>
      <c r="B419" s="46"/>
      <c r="C419" s="46"/>
      <c r="D419" s="46"/>
      <c r="E419" s="47"/>
    </row>
    <row r="420" spans="1:5" hidden="1" x14ac:dyDescent="0.25">
      <c r="A420" s="45"/>
      <c r="B420" s="46"/>
      <c r="C420" s="46"/>
      <c r="D420" s="46"/>
      <c r="E420" s="47"/>
    </row>
    <row r="421" spans="1:5" hidden="1" x14ac:dyDescent="0.25">
      <c r="A421" s="45"/>
      <c r="B421" s="46"/>
      <c r="C421" s="46"/>
      <c r="D421" s="46"/>
      <c r="E421" s="47"/>
    </row>
    <row r="422" spans="1:5" hidden="1" x14ac:dyDescent="0.25">
      <c r="A422" s="45"/>
      <c r="B422" s="46"/>
      <c r="C422" s="46"/>
      <c r="D422" s="46"/>
      <c r="E422" s="47"/>
    </row>
    <row r="423" spans="1:5" hidden="1" x14ac:dyDescent="0.25">
      <c r="A423" s="45"/>
      <c r="B423" s="46"/>
      <c r="C423" s="46"/>
      <c r="D423" s="46"/>
      <c r="E423" s="47"/>
    </row>
    <row r="424" spans="1:5" hidden="1" x14ac:dyDescent="0.25">
      <c r="A424" s="45"/>
      <c r="B424" s="46"/>
      <c r="C424" s="46"/>
      <c r="D424" s="46"/>
      <c r="E424" s="47"/>
    </row>
    <row r="425" spans="1:5" hidden="1" x14ac:dyDescent="0.25">
      <c r="A425" s="45"/>
      <c r="B425" s="46"/>
      <c r="C425" s="46"/>
      <c r="D425" s="46"/>
      <c r="E425" s="47"/>
    </row>
    <row r="426" spans="1:5" hidden="1" x14ac:dyDescent="0.25">
      <c r="A426" s="45"/>
      <c r="B426" s="46"/>
      <c r="C426" s="46"/>
      <c r="D426" s="46"/>
      <c r="E426" s="47"/>
    </row>
    <row r="427" spans="1:5" hidden="1" x14ac:dyDescent="0.25">
      <c r="A427" s="45"/>
      <c r="B427" s="46"/>
      <c r="C427" s="46"/>
      <c r="D427" s="46"/>
      <c r="E427" s="47"/>
    </row>
    <row r="428" spans="1:5" hidden="1" x14ac:dyDescent="0.25">
      <c r="A428" s="45"/>
      <c r="B428" s="46"/>
      <c r="C428" s="46"/>
      <c r="D428" s="46"/>
      <c r="E428" s="47"/>
    </row>
    <row r="429" spans="1:5" hidden="1" x14ac:dyDescent="0.25">
      <c r="A429" s="45"/>
      <c r="B429" s="46"/>
      <c r="C429" s="46"/>
      <c r="D429" s="46"/>
      <c r="E429" s="47"/>
    </row>
    <row r="430" spans="1:5" hidden="1" x14ac:dyDescent="0.25">
      <c r="A430" s="45"/>
      <c r="B430" s="46"/>
      <c r="C430" s="46"/>
      <c r="D430" s="46"/>
      <c r="E430" s="47"/>
    </row>
    <row r="431" spans="1:5" hidden="1" x14ac:dyDescent="0.25">
      <c r="A431" s="45"/>
      <c r="B431" s="46"/>
      <c r="C431" s="46"/>
      <c r="D431" s="46"/>
      <c r="E431" s="47"/>
    </row>
    <row r="432" spans="1:5" hidden="1" x14ac:dyDescent="0.25">
      <c r="A432" s="45"/>
      <c r="B432" s="46"/>
      <c r="C432" s="46"/>
      <c r="D432" s="46"/>
      <c r="E432" s="47"/>
    </row>
    <row r="433" spans="1:5" hidden="1" x14ac:dyDescent="0.25">
      <c r="A433" s="45"/>
      <c r="B433" s="46"/>
      <c r="C433" s="46"/>
      <c r="D433" s="46"/>
      <c r="E433" s="47"/>
    </row>
    <row r="434" spans="1:5" hidden="1" x14ac:dyDescent="0.25">
      <c r="A434" s="45"/>
      <c r="B434" s="46"/>
      <c r="C434" s="46"/>
      <c r="D434" s="46"/>
      <c r="E434" s="47"/>
    </row>
    <row r="435" spans="1:5" hidden="1" x14ac:dyDescent="0.25">
      <c r="A435" s="45"/>
      <c r="B435" s="46"/>
      <c r="C435" s="46"/>
      <c r="D435" s="46"/>
      <c r="E435" s="47"/>
    </row>
    <row r="436" spans="1:5" hidden="1" x14ac:dyDescent="0.25">
      <c r="A436" s="45"/>
      <c r="B436" s="46"/>
      <c r="C436" s="46"/>
      <c r="D436" s="46"/>
      <c r="E436" s="47"/>
    </row>
    <row r="437" spans="1:5" hidden="1" x14ac:dyDescent="0.25">
      <c r="A437" s="45"/>
      <c r="B437" s="46"/>
      <c r="C437" s="46"/>
      <c r="D437" s="46"/>
      <c r="E437" s="47"/>
    </row>
    <row r="438" spans="1:5" hidden="1" x14ac:dyDescent="0.25">
      <c r="A438" s="45"/>
      <c r="B438" s="46"/>
      <c r="C438" s="46"/>
      <c r="D438" s="46"/>
      <c r="E438" s="47"/>
    </row>
    <row r="439" spans="1:5" hidden="1" x14ac:dyDescent="0.25">
      <c r="A439" s="45"/>
      <c r="B439" s="46"/>
      <c r="C439" s="46"/>
      <c r="D439" s="46"/>
      <c r="E439" s="47"/>
    </row>
    <row r="440" spans="1:5" hidden="1" x14ac:dyDescent="0.25">
      <c r="A440" s="45"/>
      <c r="B440" s="46"/>
      <c r="C440" s="46"/>
      <c r="D440" s="46"/>
      <c r="E440" s="47"/>
    </row>
  </sheetData>
  <sheetProtection password="CC3D" sheet="1" objects="1" scenarios="1"/>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M26"/>
  <sheetViews>
    <sheetView showGridLines="0" tabSelected="1" view="pageBreakPreview" zoomScale="90" zoomScaleNormal="100" zoomScaleSheetLayoutView="90" zoomScalePageLayoutView="50" workbookViewId="0">
      <selection activeCell="A2" sqref="A2:XFD2"/>
    </sheetView>
  </sheetViews>
  <sheetFormatPr defaultColWidth="0" defaultRowHeight="13.15" customHeight="1" zeroHeight="1" x14ac:dyDescent="0.2"/>
  <cols>
    <col min="1" max="1" width="21.5703125" style="48" customWidth="1"/>
    <col min="2" max="4" width="20.7109375" style="48" customWidth="1"/>
    <col min="5" max="5" width="20.140625" style="48" customWidth="1"/>
    <col min="6" max="6" width="16.28515625" style="48" customWidth="1"/>
    <col min="7" max="16384" width="8.85546875" style="48" hidden="1"/>
  </cols>
  <sheetData>
    <row r="1" spans="1:6" ht="99.95" customHeight="1" x14ac:dyDescent="0.2">
      <c r="A1" s="151"/>
      <c r="B1" s="151"/>
      <c r="C1" s="151"/>
      <c r="D1" s="151"/>
      <c r="E1" s="151"/>
      <c r="F1" s="151"/>
    </row>
    <row r="2" spans="1:6" s="153" customFormat="1" ht="45" customHeight="1" x14ac:dyDescent="0.25">
      <c r="A2" s="152" t="s">
        <v>737</v>
      </c>
    </row>
    <row r="3" spans="1:6" s="115" customFormat="1" ht="20.100000000000001" customHeight="1" x14ac:dyDescent="0.2">
      <c r="A3" s="110" t="str">
        <f>Tables!FS5</f>
        <v>Project Name:</v>
      </c>
      <c r="B3" s="160"/>
      <c r="C3" s="160"/>
      <c r="D3" s="160"/>
      <c r="E3" s="154" t="s">
        <v>734</v>
      </c>
      <c r="F3" s="155"/>
    </row>
    <row r="4" spans="1:6" s="115" customFormat="1" ht="20.100000000000001" customHeight="1" x14ac:dyDescent="0.2">
      <c r="A4" s="110" t="str">
        <f>Tables!FS6</f>
        <v>Project Address:</v>
      </c>
      <c r="B4" s="160"/>
      <c r="C4" s="160"/>
      <c r="D4" s="160"/>
      <c r="E4" s="156"/>
      <c r="F4" s="157"/>
    </row>
    <row r="5" spans="1:6" s="115" customFormat="1" ht="20.100000000000001" customHeight="1" x14ac:dyDescent="0.2">
      <c r="A5" s="110" t="str">
        <f>Tables!FS7</f>
        <v>Applicant Name:</v>
      </c>
      <c r="B5" s="160"/>
      <c r="C5" s="160"/>
      <c r="D5" s="160"/>
      <c r="E5" s="156"/>
      <c r="F5" s="157"/>
    </row>
    <row r="6" spans="1:6" s="115" customFormat="1" ht="20.100000000000001" customHeight="1" x14ac:dyDescent="0.2">
      <c r="A6" s="110" t="str">
        <f>Tables!FS8</f>
        <v>Applicant Address:</v>
      </c>
      <c r="B6" s="160"/>
      <c r="C6" s="160"/>
      <c r="D6" s="160"/>
      <c r="E6" s="158"/>
      <c r="F6" s="159"/>
    </row>
    <row r="7" spans="1:6" s="115" customFormat="1" ht="30" customHeight="1" x14ac:dyDescent="0.2">
      <c r="A7" s="139" t="str">
        <f>Tables!FS10</f>
        <v>General information</v>
      </c>
      <c r="B7" s="140"/>
      <c r="C7" s="140"/>
      <c r="D7" s="140"/>
      <c r="E7" s="140"/>
      <c r="F7" s="141"/>
    </row>
    <row r="8" spans="1:6" s="115" customFormat="1" ht="48" customHeight="1" x14ac:dyDescent="0.2">
      <c r="A8" s="107" t="str">
        <f>Tables!FS11</f>
        <v>Date of plans:</v>
      </c>
      <c r="B8" s="164"/>
      <c r="C8" s="164"/>
      <c r="D8" s="106" t="s">
        <v>733</v>
      </c>
      <c r="E8" s="160"/>
      <c r="F8" s="160"/>
    </row>
    <row r="9" spans="1:6" s="115" customFormat="1" ht="48" customHeight="1" x14ac:dyDescent="0.2">
      <c r="A9" s="107" t="s">
        <v>726</v>
      </c>
      <c r="B9" s="164"/>
      <c r="C9" s="164"/>
      <c r="D9" s="106" t="str">
        <f>Tables!FS15</f>
        <v>Number of space defined in the Building:</v>
      </c>
      <c r="E9" s="160"/>
      <c r="F9" s="160"/>
    </row>
    <row r="10" spans="1:6" s="115" customFormat="1" ht="30" customHeight="1" x14ac:dyDescent="0.2">
      <c r="A10" s="161" t="str">
        <f>Tables!FS19 &amp; " - " &amp;Tables!FS21</f>
        <v>Statement of Compliance - National Energy Code for Buildings</v>
      </c>
      <c r="B10" s="162"/>
      <c r="C10" s="162"/>
      <c r="D10" s="162"/>
      <c r="E10" s="162"/>
      <c r="F10" s="163"/>
    </row>
    <row r="11" spans="1:6" s="115" customFormat="1" ht="30" customHeight="1" x14ac:dyDescent="0.2">
      <c r="A11" s="136" t="s">
        <v>727</v>
      </c>
      <c r="B11" s="137"/>
      <c r="C11" s="137"/>
      <c r="D11" s="137"/>
      <c r="E11" s="137"/>
      <c r="F11" s="138"/>
    </row>
    <row r="12" spans="1:6" s="115" customFormat="1" ht="20.100000000000001" customHeight="1" x14ac:dyDescent="0.2">
      <c r="A12" s="112" t="s">
        <v>732</v>
      </c>
      <c r="B12" s="134"/>
      <c r="C12" s="135"/>
      <c r="D12" s="131"/>
      <c r="E12" s="131"/>
      <c r="F12" s="131"/>
    </row>
    <row r="13" spans="1:6" s="115" customFormat="1" ht="20.100000000000001" customHeight="1" x14ac:dyDescent="0.2">
      <c r="A13" s="111" t="str">
        <f>Tables!FS28</f>
        <v>Signature:</v>
      </c>
      <c r="B13" s="132"/>
      <c r="C13" s="133"/>
      <c r="D13" s="131"/>
      <c r="E13" s="131"/>
      <c r="F13" s="131"/>
    </row>
    <row r="14" spans="1:6" s="115" customFormat="1" ht="30" customHeight="1" x14ac:dyDescent="0.2">
      <c r="A14" s="139" t="str">
        <f>Tables!FS30</f>
        <v>Summary compliance results</v>
      </c>
      <c r="B14" s="140"/>
      <c r="C14" s="140"/>
      <c r="D14" s="140"/>
      <c r="E14" s="140"/>
      <c r="F14" s="141"/>
    </row>
    <row r="15" spans="1:6" s="115" customFormat="1" ht="30" customHeight="1" x14ac:dyDescent="0.2">
      <c r="A15" s="165" t="str">
        <f>'Trade-Off_Conformité'!A3&amp;" -"</f>
        <v>IILE -</v>
      </c>
      <c r="B15" s="165"/>
      <c r="C15" s="183" t="str">
        <f>'Trade-Off_Conformité'!B3</f>
        <v>13483 kWh/a</v>
      </c>
      <c r="D15" s="183"/>
      <c r="E15" s="183"/>
      <c r="F15" s="183"/>
    </row>
    <row r="16" spans="1:6" s="115" customFormat="1" ht="30" customHeight="1" x14ac:dyDescent="0.2">
      <c r="A16" s="165" t="str">
        <f>'Trade-Off_Conformité'!A4&amp;" -"</f>
        <v>ILEA -</v>
      </c>
      <c r="B16" s="165"/>
      <c r="C16" s="182" t="str">
        <f>'Trade-Off_Conformité'!B4</f>
        <v>18006 kWh/a</v>
      </c>
      <c r="D16" s="182"/>
      <c r="E16" s="182"/>
      <c r="F16" s="182"/>
    </row>
    <row r="17" spans="1:13" s="115" customFormat="1" ht="30" customHeight="1" x14ac:dyDescent="0.2">
      <c r="A17" s="179" t="str">
        <f>'Trade-Off_Conformité'!B2</f>
        <v>Incomplete data entry</v>
      </c>
      <c r="B17" s="180"/>
      <c r="C17" s="180"/>
      <c r="D17" s="180"/>
      <c r="E17" s="180"/>
      <c r="F17" s="181"/>
    </row>
    <row r="18" spans="1:13" s="115" customFormat="1" ht="90" customHeight="1" x14ac:dyDescent="0.2">
      <c r="A18" s="172" t="s">
        <v>735</v>
      </c>
      <c r="B18" s="173"/>
      <c r="C18" s="173"/>
      <c r="D18" s="173"/>
      <c r="E18" s="173"/>
      <c r="F18" s="174"/>
    </row>
    <row r="19" spans="1:13" s="115" customFormat="1" ht="20.100000000000001" customHeight="1" x14ac:dyDescent="0.2">
      <c r="A19" s="175" t="s">
        <v>728</v>
      </c>
      <c r="B19" s="176"/>
      <c r="C19" s="176"/>
      <c r="D19" s="176"/>
      <c r="E19" s="176"/>
      <c r="F19" s="177"/>
    </row>
    <row r="20" spans="1:13" s="115" customFormat="1" ht="45" customHeight="1" x14ac:dyDescent="0.2">
      <c r="A20" s="108"/>
      <c r="B20" s="166" t="s">
        <v>731</v>
      </c>
      <c r="C20" s="167"/>
      <c r="D20" s="167"/>
      <c r="E20" s="167"/>
      <c r="F20" s="168"/>
    </row>
    <row r="21" spans="1:13" s="178" customFormat="1" ht="20.100000000000001" customHeight="1" x14ac:dyDescent="0.25">
      <c r="A21" s="175" t="s">
        <v>729</v>
      </c>
      <c r="B21" s="176"/>
      <c r="C21" s="176"/>
      <c r="D21" s="176"/>
      <c r="E21" s="176"/>
      <c r="F21" s="176"/>
      <c r="G21" s="176"/>
      <c r="H21" s="176"/>
      <c r="I21" s="176"/>
      <c r="J21" s="176"/>
      <c r="K21" s="176"/>
      <c r="L21" s="176"/>
      <c r="M21" s="176"/>
    </row>
    <row r="22" spans="1:13" s="115" customFormat="1" ht="45" customHeight="1" x14ac:dyDescent="0.2">
      <c r="A22" s="109"/>
      <c r="B22" s="169" t="s">
        <v>736</v>
      </c>
      <c r="C22" s="170"/>
      <c r="D22" s="170"/>
      <c r="E22" s="170"/>
      <c r="F22" s="171"/>
    </row>
    <row r="23" spans="1:13" s="115" customFormat="1" ht="30" customHeight="1" x14ac:dyDescent="0.2">
      <c r="A23" s="143" t="s">
        <v>730</v>
      </c>
      <c r="B23" s="143"/>
      <c r="C23" s="143"/>
      <c r="D23" s="143"/>
      <c r="E23" s="144"/>
      <c r="F23" s="145"/>
      <c r="G23" s="113"/>
      <c r="H23" s="113"/>
      <c r="I23" s="114"/>
      <c r="J23" s="142"/>
      <c r="K23" s="142"/>
      <c r="L23" s="142"/>
      <c r="M23" s="142"/>
    </row>
    <row r="24" spans="1:13" s="115" customFormat="1" ht="30" customHeight="1" x14ac:dyDescent="0.2">
      <c r="A24" s="143" t="s">
        <v>545</v>
      </c>
      <c r="B24" s="143"/>
      <c r="C24" s="143"/>
      <c r="D24" s="143"/>
      <c r="E24" s="146"/>
      <c r="F24" s="147"/>
      <c r="G24" s="113"/>
      <c r="H24" s="113"/>
      <c r="I24" s="114"/>
      <c r="J24" s="142"/>
      <c r="K24" s="142"/>
      <c r="L24" s="142"/>
      <c r="M24" s="142"/>
    </row>
    <row r="25" spans="1:13" s="115" customFormat="1" ht="30" customHeight="1" x14ac:dyDescent="0.2">
      <c r="A25" s="143" t="s">
        <v>543</v>
      </c>
      <c r="B25" s="143"/>
      <c r="C25" s="143"/>
      <c r="D25" s="143"/>
      <c r="E25" s="146"/>
      <c r="F25" s="147"/>
      <c r="G25" s="113"/>
      <c r="H25" s="113"/>
      <c r="I25" s="114"/>
      <c r="J25" s="142"/>
      <c r="K25" s="142"/>
      <c r="L25" s="142"/>
      <c r="M25" s="142"/>
    </row>
    <row r="26" spans="1:13" s="116" customFormat="1" ht="30" customHeight="1" x14ac:dyDescent="0.2">
      <c r="A26" s="150"/>
      <c r="B26" s="150"/>
      <c r="C26" s="150"/>
      <c r="D26" s="150"/>
      <c r="E26" s="148"/>
      <c r="F26" s="149"/>
    </row>
  </sheetData>
  <sheetProtection selectLockedCells="1"/>
  <mergeCells count="34">
    <mergeCell ref="A15:B15"/>
    <mergeCell ref="B20:F20"/>
    <mergeCell ref="B22:F22"/>
    <mergeCell ref="A18:F18"/>
    <mergeCell ref="A19:F19"/>
    <mergeCell ref="A21:XFD21"/>
    <mergeCell ref="A17:F17"/>
    <mergeCell ref="C16:F16"/>
    <mergeCell ref="C15:F15"/>
    <mergeCell ref="A16:B16"/>
    <mergeCell ref="A7:F7"/>
    <mergeCell ref="A10:F10"/>
    <mergeCell ref="E9:F9"/>
    <mergeCell ref="E8:F8"/>
    <mergeCell ref="B9:C9"/>
    <mergeCell ref="B8:C8"/>
    <mergeCell ref="A1:F1"/>
    <mergeCell ref="A2:XFD2"/>
    <mergeCell ref="E3:F6"/>
    <mergeCell ref="B3:D3"/>
    <mergeCell ref="B4:D4"/>
    <mergeCell ref="B5:D5"/>
    <mergeCell ref="B6:D6"/>
    <mergeCell ref="J23:M25"/>
    <mergeCell ref="A25:D25"/>
    <mergeCell ref="A24:D24"/>
    <mergeCell ref="A23:D23"/>
    <mergeCell ref="E23:F26"/>
    <mergeCell ref="A26:D26"/>
    <mergeCell ref="D12:F13"/>
    <mergeCell ref="B13:C13"/>
    <mergeCell ref="B12:C12"/>
    <mergeCell ref="A11:F11"/>
    <mergeCell ref="A14:F14"/>
  </mergeCells>
  <printOptions horizontalCentered="1"/>
  <pageMargins left="0.7" right="0.7" top="0.75" bottom="0.75" header="0.3" footer="0.3"/>
  <pageSetup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0</xdr:col>
                    <xdr:colOff>561975</xdr:colOff>
                    <xdr:row>19</xdr:row>
                    <xdr:rowOff>114300</xdr:rowOff>
                  </from>
                  <to>
                    <xdr:col>1</xdr:col>
                    <xdr:colOff>19050</xdr:colOff>
                    <xdr:row>19</xdr:row>
                    <xdr:rowOff>438150</xdr:rowOff>
                  </to>
                </anchor>
              </controlPr>
            </control>
          </mc:Choice>
        </mc:AlternateContent>
        <mc:AlternateContent xmlns:mc="http://schemas.openxmlformats.org/markup-compatibility/2006">
          <mc:Choice Requires="x14">
            <control shapeId="2050" r:id="rId5" name="Check Box 2">
              <controlPr locked="0" defaultSize="0" autoFill="0" autoLine="0" autoPict="0">
                <anchor moveWithCells="1">
                  <from>
                    <xdr:col>0</xdr:col>
                    <xdr:colOff>561975</xdr:colOff>
                    <xdr:row>21</xdr:row>
                    <xdr:rowOff>114300</xdr:rowOff>
                  </from>
                  <to>
                    <xdr:col>1</xdr:col>
                    <xdr:colOff>19050</xdr:colOff>
                    <xdr:row>21</xdr:row>
                    <xdr:rowOff>438150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A1:FT203"/>
  <sheetViews>
    <sheetView topLeftCell="AF1" zoomScale="115" zoomScaleNormal="115" workbookViewId="0">
      <selection activeCell="AK21" sqref="AK21"/>
    </sheetView>
  </sheetViews>
  <sheetFormatPr defaultRowHeight="15" x14ac:dyDescent="0.25"/>
  <cols>
    <col min="3" max="3" width="78.5703125" customWidth="1"/>
    <col min="4" max="4" width="10.42578125" customWidth="1"/>
    <col min="5" max="5" width="11.140625" customWidth="1"/>
    <col min="6" max="6" width="11.85546875" customWidth="1"/>
    <col min="7" max="7" width="18.7109375" customWidth="1"/>
    <col min="8" max="8" width="81.28515625" bestFit="1" customWidth="1"/>
    <col min="9" max="9" width="11.85546875" customWidth="1"/>
    <col min="10" max="10" width="13.42578125" customWidth="1"/>
    <col min="11" max="11" width="13" customWidth="1"/>
    <col min="12" max="12" width="13.42578125" customWidth="1"/>
    <col min="36" max="36" width="17" bestFit="1" customWidth="1"/>
    <col min="53" max="53" width="35.28515625" customWidth="1"/>
    <col min="60" max="60" width="23" customWidth="1"/>
    <col min="73" max="73" width="11.5703125" bestFit="1" customWidth="1"/>
    <col min="75" max="75" width="23.85546875" customWidth="1"/>
    <col min="76" max="76" width="40.28515625" customWidth="1"/>
    <col min="83" max="83" width="20.28515625" customWidth="1"/>
  </cols>
  <sheetData>
    <row r="1" spans="1:176" x14ac:dyDescent="0.25">
      <c r="A1" t="s">
        <v>296</v>
      </c>
      <c r="B1">
        <f>COUNT('Trade-Off_Conformité'!A6:A1048576)</f>
        <v>1</v>
      </c>
      <c r="BE1">
        <f>COUNTBLANK(A1:BD1)</f>
        <v>54</v>
      </c>
      <c r="FS1" s="49"/>
      <c r="FT1" s="49"/>
    </row>
    <row r="2" spans="1:176" x14ac:dyDescent="0.25">
      <c r="A2" t="s">
        <v>297</v>
      </c>
      <c r="B2">
        <v>1</v>
      </c>
      <c r="C2" t="s">
        <v>310</v>
      </c>
      <c r="D2">
        <v>1</v>
      </c>
      <c r="AB2" t="s">
        <v>31</v>
      </c>
      <c r="AC2" t="s">
        <v>51</v>
      </c>
      <c r="FS2" s="49"/>
      <c r="FT2" s="49"/>
    </row>
    <row r="3" spans="1:176" ht="18" x14ac:dyDescent="0.35">
      <c r="B3" t="s">
        <v>30</v>
      </c>
      <c r="AB3" t="s">
        <v>46</v>
      </c>
      <c r="AC3" t="s">
        <v>46</v>
      </c>
      <c r="AE3" t="s">
        <v>41</v>
      </c>
      <c r="AH3" t="s">
        <v>42</v>
      </c>
      <c r="AK3" t="s">
        <v>71</v>
      </c>
      <c r="AQ3" t="s">
        <v>79</v>
      </c>
      <c r="AS3" t="s">
        <v>115</v>
      </c>
      <c r="AX3" t="s">
        <v>119</v>
      </c>
      <c r="BA3" t="s">
        <v>144</v>
      </c>
      <c r="BE3" t="s">
        <v>229</v>
      </c>
      <c r="BH3" t="s">
        <v>235</v>
      </c>
      <c r="BL3" t="s">
        <v>244</v>
      </c>
      <c r="BN3" t="s">
        <v>253</v>
      </c>
      <c r="BP3" t="s">
        <v>263</v>
      </c>
      <c r="BR3" t="s">
        <v>258</v>
      </c>
      <c r="BW3" t="s">
        <v>312</v>
      </c>
      <c r="CA3" t="s">
        <v>309</v>
      </c>
      <c r="CC3" t="s">
        <v>311</v>
      </c>
      <c r="CF3" t="s">
        <v>313</v>
      </c>
      <c r="CI3" t="s">
        <v>311</v>
      </c>
      <c r="FS3" s="49" t="s">
        <v>504</v>
      </c>
      <c r="FT3" s="49"/>
    </row>
    <row r="4" spans="1:176" ht="18" x14ac:dyDescent="0.35">
      <c r="AB4" s="1">
        <v>0</v>
      </c>
      <c r="AC4" s="1">
        <v>0</v>
      </c>
      <c r="AE4" t="str">
        <f>IF(Select_Lang="English",AF13,AE13)</f>
        <v>Manual</v>
      </c>
      <c r="AF4">
        <v>0.5</v>
      </c>
      <c r="AH4" t="str">
        <f>IF(Select_Lang="English",AI13,AH13)</f>
        <v>Dimming</v>
      </c>
      <c r="AI4">
        <v>1</v>
      </c>
      <c r="AK4" t="s">
        <v>72</v>
      </c>
      <c r="AL4" t="str">
        <f>IF(Select_Lang="English",AL13,AK13)</f>
        <v>North</v>
      </c>
      <c r="AM4" t="str">
        <f>IF(Select_Lang="English",AL14,AK14)</f>
        <v>East</v>
      </c>
      <c r="AN4" t="str">
        <f>IF(Select_Lang="English",AL15,AK15)</f>
        <v>South</v>
      </c>
      <c r="AO4" t="str">
        <f>IF(Select_Lang="English",AL16,AK16)</f>
        <v>West</v>
      </c>
      <c r="AQ4" t="str">
        <f>IF(Select_Lang="English",AR13,AQ13)</f>
        <v>No daylight</v>
      </c>
      <c r="AS4" t="s">
        <v>72</v>
      </c>
      <c r="AT4" t="s">
        <v>116</v>
      </c>
      <c r="AU4" t="s">
        <v>117</v>
      </c>
      <c r="AV4" t="s">
        <v>118</v>
      </c>
      <c r="AX4" t="s">
        <v>106</v>
      </c>
      <c r="AY4" t="s">
        <v>120</v>
      </c>
      <c r="BA4" t="s">
        <v>142</v>
      </c>
      <c r="BB4" t="s">
        <v>143</v>
      </c>
      <c r="BC4" t="s">
        <v>145</v>
      </c>
      <c r="BE4" t="s">
        <v>230</v>
      </c>
      <c r="BF4" t="s">
        <v>122</v>
      </c>
      <c r="BH4" t="s">
        <v>142</v>
      </c>
      <c r="BI4" t="s">
        <v>236</v>
      </c>
      <c r="BL4" t="str">
        <f>IF(Select_Lang="English",BM13,BL13)</f>
        <v>Yes</v>
      </c>
      <c r="BN4" t="str">
        <f t="shared" ref="BN4:BN12" si="0">IF(Select_Lang="English",BO16,BN16)</f>
        <v>Classrooms and lecture halls, excluding shop and laboratory classrooms</v>
      </c>
      <c r="BP4" t="str">
        <f>IF(Select_Lang="English",BQ16,BP16)</f>
        <v>Lighting system deemed to comply with Section 4.3</v>
      </c>
      <c r="BS4" t="s">
        <v>260</v>
      </c>
      <c r="BT4" t="s">
        <v>259</v>
      </c>
      <c r="BU4" t="s">
        <v>285</v>
      </c>
      <c r="BW4" t="s">
        <v>289</v>
      </c>
      <c r="BX4" t="s">
        <v>262</v>
      </c>
      <c r="BY4" t="s">
        <v>258</v>
      </c>
      <c r="CA4" t="s">
        <v>261</v>
      </c>
      <c r="CC4" t="str">
        <f>IF(Select_Lang="English",CD7,CC7)</f>
        <v>This tool can be used to demonstrate compliance with the NECB 2011 Part 4 (Lighting) Trade-Off path. Users must define the building’s area and lighting systems using the Space-by-space method. The Trade-Off worksheet allows the entry of all required information, fields highlighted in BLUE, to define each space and its lighting system.  The total building Gross Floor Area must be defined in the Trade-off worksheet for the compliance calculations to be valid.</v>
      </c>
      <c r="CF4" t="str">
        <f t="shared" ref="CF4:CF33" si="1">IF(Select_Lang="English",CG39,CF39)</f>
        <v>Define a unique name for the space being defined. Documentation describing the actual space should be kept for a possible validation of compliance by the Authority Having Jurisdiction.</v>
      </c>
      <c r="CI4" t="str">
        <f>IF(Select_Lang="English",CJ7,CI7)</f>
        <v>This tool is the property of Natural Resources Canada. All rights reserved. No part of this tool may be reproduced, modified, distributed, published, sold, licensed, broadcasted, retransmitted, circulated in any form or used this tool in any way other than for compliance to the 2011 NECB.</v>
      </c>
      <c r="FS4" s="49" t="str">
        <f t="shared" ref="FS4:FS32" si="2">IF(Select_Lang="English",FT35,FS35)</f>
        <v>Statement of Compliance – National Energy Code of Canada for Buildings 2011                          Summary Compliance Report to NECB Part 4 - Lighting</v>
      </c>
      <c r="FT4" s="49"/>
    </row>
    <row r="5" spans="1:176" ht="17.25" x14ac:dyDescent="0.25">
      <c r="B5" t="s">
        <v>31</v>
      </c>
      <c r="C5" s="1">
        <v>4.1666666666666664E-2</v>
      </c>
      <c r="D5" s="1">
        <v>8.3333333333333329E-2</v>
      </c>
      <c r="E5" s="1">
        <v>0.125</v>
      </c>
      <c r="F5" s="1">
        <v>0.16666666666666699</v>
      </c>
      <c r="G5" s="1">
        <v>0.20833333333333401</v>
      </c>
      <c r="H5" s="1">
        <v>0.25</v>
      </c>
      <c r="I5" s="1">
        <v>0.29166666666666702</v>
      </c>
      <c r="J5" s="1">
        <v>0.33333333333333398</v>
      </c>
      <c r="K5" s="1">
        <v>0.375</v>
      </c>
      <c r="L5" s="1">
        <v>0.41666666666666702</v>
      </c>
      <c r="M5" s="1">
        <v>0.45833333333333398</v>
      </c>
      <c r="N5" s="1">
        <v>0.5</v>
      </c>
      <c r="O5" s="1">
        <v>0.54166666666666696</v>
      </c>
      <c r="P5" s="1">
        <v>0.58333333333333404</v>
      </c>
      <c r="Q5" s="1">
        <v>0.625</v>
      </c>
      <c r="R5" s="1">
        <v>0.66666666666666696</v>
      </c>
      <c r="S5" s="1">
        <v>0.70833333333333404</v>
      </c>
      <c r="T5" s="1">
        <v>0.75</v>
      </c>
      <c r="U5" s="1">
        <v>0.79166666666666696</v>
      </c>
      <c r="V5" s="1">
        <v>0.83333333333333404</v>
      </c>
      <c r="W5" s="1">
        <v>0.875</v>
      </c>
      <c r="X5" s="1">
        <v>0.91666666666666696</v>
      </c>
      <c r="Y5" s="1">
        <v>0.95833333333333404</v>
      </c>
      <c r="Z5" s="1">
        <v>1</v>
      </c>
      <c r="AB5" s="1">
        <v>4.1666666666666664E-2</v>
      </c>
      <c r="AC5" s="1">
        <v>4.1666666666666664E-2</v>
      </c>
      <c r="AE5" t="str">
        <f>IF(Select_Lang="English",AF14,AE14)</f>
        <v>Automatic</v>
      </c>
      <c r="AF5">
        <v>0.86</v>
      </c>
      <c r="AH5" t="str">
        <f>IF(Select_Lang="English",AI14,AH14)</f>
        <v>Bi-level switching</v>
      </c>
      <c r="AI5">
        <v>0.99</v>
      </c>
      <c r="AK5">
        <v>300</v>
      </c>
      <c r="AL5">
        <v>0.72</v>
      </c>
      <c r="AM5">
        <v>0.72</v>
      </c>
      <c r="AN5">
        <v>0.74</v>
      </c>
      <c r="AO5">
        <v>0.73</v>
      </c>
      <c r="AQ5" t="str">
        <f>IF(Select_Lang="English",AR14,AQ14)</f>
        <v>Sidelighting</v>
      </c>
      <c r="AS5">
        <v>300</v>
      </c>
      <c r="AT5">
        <v>0.81</v>
      </c>
      <c r="AU5">
        <v>0.86</v>
      </c>
      <c r="AV5">
        <v>0.88</v>
      </c>
      <c r="AX5">
        <v>0</v>
      </c>
      <c r="AY5">
        <v>1</v>
      </c>
      <c r="BA5" t="str">
        <f t="shared" ref="BA5:BA36" si="3">IF(Select_Lang="English",BB106,BA106)</f>
        <v>Atrium</v>
      </c>
      <c r="BB5">
        <v>0</v>
      </c>
      <c r="BC5">
        <v>0</v>
      </c>
      <c r="BE5" t="str">
        <f>IF(Select_Lang="English",BF13,BE13)</f>
        <v>Manual</v>
      </c>
      <c r="BF5">
        <v>0.3</v>
      </c>
      <c r="BH5" t="s">
        <v>126</v>
      </c>
      <c r="BI5">
        <v>0.1</v>
      </c>
      <c r="BJ5">
        <v>7.0000000000000007E-2</v>
      </c>
      <c r="BL5" t="str">
        <f>IF(Select_Lang="English",BM14,BL14)</f>
        <v>No</v>
      </c>
      <c r="BN5" t="str">
        <f t="shared" si="0"/>
        <v>Conference, meeting, and training rooms</v>
      </c>
      <c r="BP5" t="str">
        <f>IF(Select_Lang="English",BQ17,BP17)</f>
        <v>Lighting system does not comply with Section 4.3</v>
      </c>
      <c r="BR5" t="s">
        <v>280</v>
      </c>
      <c r="BS5" t="str">
        <f>IF(Select_Lang="English",BS16,BR16)</f>
        <v>ft2</v>
      </c>
      <c r="BT5" t="s">
        <v>645</v>
      </c>
      <c r="BU5">
        <v>9.2903043596611279E-2</v>
      </c>
      <c r="BW5" t="s">
        <v>294</v>
      </c>
      <c r="BX5" t="s">
        <v>268</v>
      </c>
      <c r="CA5" t="s">
        <v>262</v>
      </c>
      <c r="CF5" t="str">
        <f t="shared" si="1"/>
        <v>Select the space function that most closely match the actual main space function of the space being defined, as per Table 4.2.1.6 of the NECB.</v>
      </c>
      <c r="FS5" s="49" t="str">
        <f t="shared" si="2"/>
        <v>Project Name:</v>
      </c>
      <c r="FT5" s="49"/>
    </row>
    <row r="6" spans="1:176" x14ac:dyDescent="0.25">
      <c r="B6" s="1">
        <v>0</v>
      </c>
      <c r="C6">
        <v>0</v>
      </c>
      <c r="D6">
        <v>0</v>
      </c>
      <c r="E6">
        <v>0</v>
      </c>
      <c r="F6">
        <v>0</v>
      </c>
      <c r="G6">
        <v>0</v>
      </c>
      <c r="H6">
        <v>35</v>
      </c>
      <c r="I6">
        <v>155</v>
      </c>
      <c r="J6">
        <v>363</v>
      </c>
      <c r="K6">
        <v>613</v>
      </c>
      <c r="L6">
        <v>863</v>
      </c>
      <c r="M6">
        <v>1113</v>
      </c>
      <c r="N6">
        <v>1363</v>
      </c>
      <c r="O6">
        <v>1613</v>
      </c>
      <c r="P6">
        <v>1863</v>
      </c>
      <c r="Q6">
        <v>2113</v>
      </c>
      <c r="R6">
        <v>2363</v>
      </c>
      <c r="S6">
        <v>2580</v>
      </c>
      <c r="T6">
        <v>2743</v>
      </c>
      <c r="U6">
        <v>2879</v>
      </c>
      <c r="V6">
        <v>2979</v>
      </c>
      <c r="W6">
        <v>3014</v>
      </c>
      <c r="X6">
        <v>3014</v>
      </c>
      <c r="Y6">
        <v>3014</v>
      </c>
      <c r="Z6">
        <v>3014</v>
      </c>
      <c r="AB6" s="1">
        <v>8.3333333333333301E-2</v>
      </c>
      <c r="AC6" s="1">
        <v>8.3333333333333301E-2</v>
      </c>
      <c r="AE6" t="str">
        <f>IF(Select_Lang="English",AF15,AE15)</f>
        <v>No shading</v>
      </c>
      <c r="AF6">
        <v>1</v>
      </c>
      <c r="AH6" t="str">
        <f>IF(Select_Lang="English",AI15,AH15)</f>
        <v>Switching</v>
      </c>
      <c r="AI6">
        <v>0.82</v>
      </c>
      <c r="AK6">
        <v>500</v>
      </c>
      <c r="AL6">
        <v>0.59</v>
      </c>
      <c r="AM6">
        <v>0.62</v>
      </c>
      <c r="AN6">
        <v>0.66</v>
      </c>
      <c r="AO6">
        <v>0.64</v>
      </c>
      <c r="AQ6" t="str">
        <f>IF(Select_Lang="English",AR15,AQ15)</f>
        <v>Toplighting</v>
      </c>
      <c r="AS6">
        <v>500</v>
      </c>
      <c r="AT6">
        <v>0.75</v>
      </c>
      <c r="AU6">
        <v>0.82</v>
      </c>
      <c r="AV6">
        <v>0.85</v>
      </c>
      <c r="AX6">
        <v>0.5</v>
      </c>
      <c r="AY6">
        <v>0.98</v>
      </c>
      <c r="BA6" t="str">
        <f t="shared" si="3"/>
        <v>Audience/Seating Area - Permanent - For Auditorium</v>
      </c>
      <c r="BB6">
        <v>0.3</v>
      </c>
      <c r="BC6">
        <v>0</v>
      </c>
      <c r="BE6" t="str">
        <f>IF(Select_Lang="English",BF14,BE14)</f>
        <v>Automatic</v>
      </c>
      <c r="BF6">
        <v>0.67</v>
      </c>
      <c r="BH6" t="s">
        <v>146</v>
      </c>
      <c r="BI6">
        <v>8.5</v>
      </c>
      <c r="BN6" t="str">
        <f t="shared" si="0"/>
        <v>Employee lunch and break rooms</v>
      </c>
      <c r="BP6" t="str">
        <f>IF(Select_Lang="English",BQ18,BP18)</f>
        <v>Incomplete data entry</v>
      </c>
      <c r="BR6" t="s">
        <v>282</v>
      </c>
      <c r="BS6" t="str">
        <f>IF(Select_Lang="English",BS17,BR17)</f>
        <v>ft</v>
      </c>
      <c r="BT6" t="s">
        <v>284</v>
      </c>
      <c r="BU6">
        <v>0.30479999024640031</v>
      </c>
      <c r="BW6" t="s">
        <v>314</v>
      </c>
      <c r="BX6" t="s">
        <v>606</v>
      </c>
      <c r="CC6" t="s">
        <v>289</v>
      </c>
      <c r="CD6" t="s">
        <v>262</v>
      </c>
      <c r="CF6" t="str">
        <f t="shared" si="1"/>
        <v>A volume substantially surrounded by solid surfaces such as full-height walls/partitions, floors, ceilings, and operable devices such as doors and operable windows.</v>
      </c>
      <c r="CI6" t="s">
        <v>289</v>
      </c>
      <c r="CJ6" t="s">
        <v>262</v>
      </c>
      <c r="FS6" s="49" t="str">
        <f t="shared" si="2"/>
        <v>Project Address:</v>
      </c>
      <c r="FT6" s="49"/>
    </row>
    <row r="7" spans="1:176" x14ac:dyDescent="0.25">
      <c r="B7" s="1">
        <v>4.1666666666666664E-2</v>
      </c>
      <c r="D7">
        <v>0</v>
      </c>
      <c r="E7">
        <v>0</v>
      </c>
      <c r="F7">
        <v>0</v>
      </c>
      <c r="G7">
        <v>0</v>
      </c>
      <c r="H7">
        <v>35</v>
      </c>
      <c r="I7">
        <v>155</v>
      </c>
      <c r="J7">
        <v>363</v>
      </c>
      <c r="K7">
        <v>613</v>
      </c>
      <c r="L7">
        <v>863</v>
      </c>
      <c r="M7">
        <v>1113</v>
      </c>
      <c r="N7">
        <v>1363</v>
      </c>
      <c r="O7">
        <v>1613</v>
      </c>
      <c r="P7">
        <v>1863</v>
      </c>
      <c r="Q7">
        <v>2113</v>
      </c>
      <c r="R7">
        <v>2363</v>
      </c>
      <c r="S7">
        <v>2580</v>
      </c>
      <c r="T7">
        <v>2743</v>
      </c>
      <c r="U7">
        <v>2879</v>
      </c>
      <c r="V7">
        <v>2979</v>
      </c>
      <c r="W7">
        <v>3014</v>
      </c>
      <c r="X7">
        <v>3014</v>
      </c>
      <c r="Y7">
        <v>3014</v>
      </c>
      <c r="Z7">
        <v>3014</v>
      </c>
      <c r="AB7" s="1">
        <v>0.125</v>
      </c>
      <c r="AC7" s="1">
        <v>0.125</v>
      </c>
      <c r="AH7" t="str">
        <f>IF(Select_Lang="English",AI16,AH16)</f>
        <v>Manual</v>
      </c>
      <c r="AI7">
        <v>0.51</v>
      </c>
      <c r="AK7">
        <v>750</v>
      </c>
      <c r="AL7">
        <v>0.5</v>
      </c>
      <c r="AM7">
        <v>0.55000000000000004</v>
      </c>
      <c r="AN7">
        <v>0.6</v>
      </c>
      <c r="AO7">
        <v>0.56999999999999995</v>
      </c>
      <c r="AS7">
        <v>750</v>
      </c>
      <c r="AT7">
        <v>0.67</v>
      </c>
      <c r="AU7">
        <v>0.77</v>
      </c>
      <c r="AV7">
        <v>0.82</v>
      </c>
      <c r="AX7">
        <v>1</v>
      </c>
      <c r="AY7">
        <v>0.95</v>
      </c>
      <c r="BA7" t="str">
        <f t="shared" si="3"/>
        <v>Audience/Seating Area - Permanent - For Performing Arts Theatre</v>
      </c>
      <c r="BB7">
        <v>0</v>
      </c>
      <c r="BC7">
        <v>0</v>
      </c>
      <c r="BE7" t="str">
        <f>IF(Select_Lang="English",BF15,BE15)</f>
        <v>None</v>
      </c>
      <c r="BF7">
        <v>0</v>
      </c>
      <c r="BH7" t="s">
        <v>147</v>
      </c>
      <c r="BI7">
        <v>26.2</v>
      </c>
      <c r="BN7" t="str">
        <f t="shared" si="0"/>
        <v>Storage and supply rooms up to 100 m2</v>
      </c>
      <c r="BR7" t="s">
        <v>286</v>
      </c>
      <c r="BS7" t="str">
        <f>IF(Select_Lang="English",BS18,BR18)</f>
        <v>fc</v>
      </c>
      <c r="BT7" t="s">
        <v>287</v>
      </c>
      <c r="BU7">
        <v>10.763910417</v>
      </c>
      <c r="BW7" t="s">
        <v>295</v>
      </c>
      <c r="BX7" t="s">
        <v>123</v>
      </c>
      <c r="CA7" t="s">
        <v>259</v>
      </c>
      <c r="CC7" s="35" t="s">
        <v>601</v>
      </c>
      <c r="CD7" s="35" t="s">
        <v>644</v>
      </c>
      <c r="CF7" t="str">
        <f t="shared" si="1"/>
        <v>Select the space function that most closely matches the actual main space function of the enclosed space being defined, as specified in Article 4.2.2.2 2) of the NECB.</v>
      </c>
      <c r="CI7" s="49" t="s">
        <v>589</v>
      </c>
      <c r="CJ7" s="70" t="s">
        <v>600</v>
      </c>
      <c r="FS7" s="49" t="str">
        <f t="shared" si="2"/>
        <v>Applicant Name:</v>
      </c>
      <c r="FT7" s="49"/>
    </row>
    <row r="8" spans="1:176" x14ac:dyDescent="0.25">
      <c r="B8" s="1">
        <v>8.3333333333333329E-2</v>
      </c>
      <c r="E8">
        <v>0</v>
      </c>
      <c r="F8">
        <v>0</v>
      </c>
      <c r="G8">
        <v>0</v>
      </c>
      <c r="H8">
        <v>35</v>
      </c>
      <c r="I8">
        <v>155</v>
      </c>
      <c r="J8">
        <v>363</v>
      </c>
      <c r="K8">
        <v>613</v>
      </c>
      <c r="L8">
        <v>863</v>
      </c>
      <c r="M8">
        <v>1113</v>
      </c>
      <c r="N8">
        <v>1363</v>
      </c>
      <c r="O8">
        <v>1613</v>
      </c>
      <c r="P8">
        <v>1863</v>
      </c>
      <c r="Q8">
        <v>2113</v>
      </c>
      <c r="R8">
        <v>2363</v>
      </c>
      <c r="S8">
        <v>2580</v>
      </c>
      <c r="T8">
        <v>2743</v>
      </c>
      <c r="U8">
        <v>2879</v>
      </c>
      <c r="V8">
        <v>2979</v>
      </c>
      <c r="W8">
        <v>3014</v>
      </c>
      <c r="X8">
        <v>3014</v>
      </c>
      <c r="Y8">
        <v>3014</v>
      </c>
      <c r="Z8">
        <v>3014</v>
      </c>
      <c r="AB8" s="1">
        <v>0.16666666666666699</v>
      </c>
      <c r="AC8" s="1">
        <v>0.16666666666666699</v>
      </c>
      <c r="AH8" t="str">
        <f>IF(Select_Lang="English",AI17,AH17)</f>
        <v>No control</v>
      </c>
      <c r="AI8">
        <v>0</v>
      </c>
      <c r="AK8">
        <v>1000.1</v>
      </c>
      <c r="AL8">
        <v>0.44</v>
      </c>
      <c r="AM8">
        <v>0.49</v>
      </c>
      <c r="AN8">
        <v>0.55000000000000004</v>
      </c>
      <c r="AO8">
        <v>0.52</v>
      </c>
      <c r="AS8">
        <v>1000</v>
      </c>
      <c r="AT8">
        <v>0.59</v>
      </c>
      <c r="AU8">
        <v>0.73</v>
      </c>
      <c r="AV8">
        <v>0.79</v>
      </c>
      <c r="AX8">
        <v>1.5</v>
      </c>
      <c r="AY8">
        <v>0.89</v>
      </c>
      <c r="BA8" t="str">
        <f t="shared" si="3"/>
        <v>Audience/Seating Area - Permanent - For Motion Picture Theatre</v>
      </c>
      <c r="BB8">
        <v>0</v>
      </c>
      <c r="BC8">
        <v>0</v>
      </c>
      <c r="BH8" t="s">
        <v>148</v>
      </c>
      <c r="BI8">
        <v>12.3</v>
      </c>
      <c r="BN8" t="str">
        <f t="shared" si="0"/>
        <v>Rooms used for document copying and printing</v>
      </c>
      <c r="BW8" t="s">
        <v>679</v>
      </c>
      <c r="BX8" t="s">
        <v>255</v>
      </c>
      <c r="CA8" t="s">
        <v>260</v>
      </c>
      <c r="CF8" t="str">
        <f t="shared" si="1"/>
        <v>Specify the height of the atrium to determine the prescribed lighting power density</v>
      </c>
      <c r="FS8" s="49" t="str">
        <f t="shared" si="2"/>
        <v>Applicant Address:</v>
      </c>
      <c r="FT8" s="49"/>
    </row>
    <row r="9" spans="1:176" x14ac:dyDescent="0.25">
      <c r="B9" s="1">
        <v>0.125</v>
      </c>
      <c r="F9">
        <v>0</v>
      </c>
      <c r="G9">
        <v>0</v>
      </c>
      <c r="H9">
        <v>35</v>
      </c>
      <c r="I9">
        <v>155</v>
      </c>
      <c r="J9">
        <v>363</v>
      </c>
      <c r="K9">
        <v>613</v>
      </c>
      <c r="L9">
        <v>863</v>
      </c>
      <c r="M9">
        <v>1113</v>
      </c>
      <c r="N9">
        <v>1363</v>
      </c>
      <c r="O9">
        <v>1613</v>
      </c>
      <c r="P9">
        <v>1863</v>
      </c>
      <c r="Q9">
        <v>2113</v>
      </c>
      <c r="R9">
        <v>2363</v>
      </c>
      <c r="S9">
        <v>2580</v>
      </c>
      <c r="T9">
        <v>2743</v>
      </c>
      <c r="U9">
        <v>2879</v>
      </c>
      <c r="V9">
        <v>2979</v>
      </c>
      <c r="W9">
        <v>3014</v>
      </c>
      <c r="X9">
        <v>3014</v>
      </c>
      <c r="Y9">
        <v>3014</v>
      </c>
      <c r="Z9">
        <v>3014</v>
      </c>
      <c r="AB9" s="1">
        <v>0.20833333333333301</v>
      </c>
      <c r="AC9" s="1">
        <v>0.20833333333333301</v>
      </c>
      <c r="AX9">
        <v>2</v>
      </c>
      <c r="AY9">
        <v>0.84</v>
      </c>
      <c r="BA9" t="str">
        <f t="shared" si="3"/>
        <v>Classroom/Lecture/Training</v>
      </c>
      <c r="BB9">
        <v>0.5</v>
      </c>
      <c r="BC9">
        <v>0</v>
      </c>
      <c r="BH9" t="s">
        <v>127</v>
      </c>
      <c r="BI9">
        <v>13.3</v>
      </c>
      <c r="BN9" t="str">
        <f t="shared" si="0"/>
        <v>Office spaces up to 25 m2</v>
      </c>
      <c r="BR9" t="s">
        <v>306</v>
      </c>
      <c r="BW9" t="s">
        <v>427</v>
      </c>
      <c r="BX9" t="s">
        <v>257</v>
      </c>
      <c r="CF9" t="str">
        <f t="shared" si="1"/>
        <v>Specify if the occupancy-sensing mechanism is automatic or manual, as per Table 4.3.2.10.B of the NECB.</v>
      </c>
      <c r="FS9" s="49" t="str">
        <f t="shared" si="2"/>
        <v>Applicant Phone:</v>
      </c>
      <c r="FT9" s="49"/>
    </row>
    <row r="10" spans="1:176" x14ac:dyDescent="0.25">
      <c r="B10" s="1">
        <v>0.16666666666666699</v>
      </c>
      <c r="G10">
        <v>0</v>
      </c>
      <c r="H10">
        <v>35</v>
      </c>
      <c r="I10">
        <v>155</v>
      </c>
      <c r="J10">
        <v>363</v>
      </c>
      <c r="K10">
        <v>613</v>
      </c>
      <c r="L10">
        <v>863</v>
      </c>
      <c r="M10">
        <v>1113</v>
      </c>
      <c r="N10">
        <v>1363</v>
      </c>
      <c r="O10">
        <v>1613</v>
      </c>
      <c r="P10">
        <v>1863</v>
      </c>
      <c r="Q10">
        <v>2113</v>
      </c>
      <c r="R10">
        <v>2363</v>
      </c>
      <c r="S10">
        <v>2580</v>
      </c>
      <c r="T10">
        <v>2743</v>
      </c>
      <c r="U10">
        <v>2879</v>
      </c>
      <c r="V10">
        <v>2979</v>
      </c>
      <c r="W10">
        <v>3014</v>
      </c>
      <c r="X10">
        <v>3014</v>
      </c>
      <c r="Y10">
        <v>3014</v>
      </c>
      <c r="Z10">
        <v>3014</v>
      </c>
      <c r="AB10" s="1">
        <v>0.25</v>
      </c>
      <c r="AC10" s="1">
        <v>0.25</v>
      </c>
      <c r="AX10">
        <v>2.5</v>
      </c>
      <c r="AY10">
        <v>0.79</v>
      </c>
      <c r="BA10" t="str">
        <f t="shared" si="3"/>
        <v>Conference/Meeting/Multipurpose</v>
      </c>
      <c r="BB10">
        <v>0.5</v>
      </c>
      <c r="BC10">
        <v>0</v>
      </c>
      <c r="BH10" t="s">
        <v>128</v>
      </c>
      <c r="BI10">
        <v>13.2</v>
      </c>
      <c r="BN10" t="str">
        <f t="shared" si="0"/>
        <v>Washrooms</v>
      </c>
      <c r="BR10" t="s">
        <v>280</v>
      </c>
      <c r="BS10" t="str">
        <f>IF(Select_Units="SI",BT5,BS5)</f>
        <v>m2</v>
      </c>
      <c r="BT10">
        <f>IF(Select_Units="SI",1,Conv_Area_IP_to_SI)</f>
        <v>1</v>
      </c>
      <c r="BW10" t="str">
        <f>CONCATENATE("Hauteur de l'atrium ",BY10)</f>
        <v>Hauteur de l'atrium - m</v>
      </c>
      <c r="BX10" t="str">
        <f>CONCATENATE("Atrium Height ",BY10)</f>
        <v>Atrium Height - m</v>
      </c>
      <c r="BY10" t="str">
        <f>IF(Select_Units="SI","- m","- ft")</f>
        <v>- m</v>
      </c>
      <c r="CF10" t="str">
        <f t="shared" si="1"/>
        <v>Specify the gross interior floor area of the space</v>
      </c>
      <c r="FS10" s="49" t="str">
        <f t="shared" si="2"/>
        <v>General information</v>
      </c>
      <c r="FT10" s="49"/>
    </row>
    <row r="11" spans="1:176" x14ac:dyDescent="0.25">
      <c r="B11" s="1">
        <v>0.20833333333333401</v>
      </c>
      <c r="H11">
        <v>35</v>
      </c>
      <c r="I11">
        <v>155</v>
      </c>
      <c r="J11">
        <v>363</v>
      </c>
      <c r="K11">
        <v>613</v>
      </c>
      <c r="L11">
        <v>863</v>
      </c>
      <c r="M11">
        <v>1113</v>
      </c>
      <c r="N11">
        <v>1363</v>
      </c>
      <c r="O11">
        <v>1613</v>
      </c>
      <c r="P11">
        <v>1863</v>
      </c>
      <c r="Q11">
        <v>2113</v>
      </c>
      <c r="R11">
        <v>2363</v>
      </c>
      <c r="S11">
        <v>2580</v>
      </c>
      <c r="T11">
        <v>2743</v>
      </c>
      <c r="U11">
        <v>2879</v>
      </c>
      <c r="V11">
        <v>2979</v>
      </c>
      <c r="W11">
        <v>3014</v>
      </c>
      <c r="X11">
        <v>3014</v>
      </c>
      <c r="Y11">
        <v>3014</v>
      </c>
      <c r="Z11">
        <v>3014</v>
      </c>
      <c r="AB11" s="1">
        <v>0.29166666666666702</v>
      </c>
      <c r="AC11" s="1">
        <v>0.29166666666666702</v>
      </c>
      <c r="AX11">
        <v>3</v>
      </c>
      <c r="AY11">
        <v>0.74</v>
      </c>
      <c r="BA11" t="str">
        <f t="shared" si="3"/>
        <v>Corridor/Transition &gt;= 2.4 m wide</v>
      </c>
      <c r="BB11">
        <v>0</v>
      </c>
      <c r="BC11">
        <v>0</v>
      </c>
      <c r="BH11" t="s">
        <v>129</v>
      </c>
      <c r="BI11">
        <v>7.1</v>
      </c>
      <c r="BN11" t="str">
        <f t="shared" si="0"/>
        <v>Dressing, locker, and fitting rooms</v>
      </c>
      <c r="BR11" t="s">
        <v>282</v>
      </c>
      <c r="BS11" t="str">
        <f>IF(Select_Units="SI",BT6,BS6)</f>
        <v>m</v>
      </c>
      <c r="BT11">
        <f>IF(Select_Units="SI",1,Conv_Length_IP_to_SI)</f>
        <v>1</v>
      </c>
      <c r="BW11" t="s">
        <v>316</v>
      </c>
      <c r="BX11" t="s">
        <v>607</v>
      </c>
      <c r="CF11" t="str">
        <f t="shared" si="1"/>
        <v>Total area of the targeted space that has daylighting. Refer to NECB sections 4.2.2.5, 4.2.2.6 and 4.2.2.9 for the procedures to calculate this area.</v>
      </c>
      <c r="FS11" s="49" t="str">
        <f t="shared" si="2"/>
        <v>Date of plans:</v>
      </c>
      <c r="FT11" s="49"/>
    </row>
    <row r="12" spans="1:176" x14ac:dyDescent="0.25">
      <c r="B12" s="1">
        <v>0.25</v>
      </c>
      <c r="I12">
        <v>119</v>
      </c>
      <c r="J12">
        <v>327</v>
      </c>
      <c r="K12">
        <v>577</v>
      </c>
      <c r="L12">
        <v>827</v>
      </c>
      <c r="M12">
        <v>1077</v>
      </c>
      <c r="N12">
        <v>1327</v>
      </c>
      <c r="O12">
        <v>1577</v>
      </c>
      <c r="P12">
        <v>1827</v>
      </c>
      <c r="Q12">
        <v>2077</v>
      </c>
      <c r="R12">
        <v>2327</v>
      </c>
      <c r="S12">
        <v>2545</v>
      </c>
      <c r="T12">
        <v>2708</v>
      </c>
      <c r="U12">
        <v>2843</v>
      </c>
      <c r="V12">
        <v>2944</v>
      </c>
      <c r="W12">
        <v>2979</v>
      </c>
      <c r="X12">
        <v>2979</v>
      </c>
      <c r="Y12">
        <v>2979</v>
      </c>
      <c r="Z12">
        <v>2979</v>
      </c>
      <c r="AB12" s="1">
        <v>0.33333333333333298</v>
      </c>
      <c r="AC12" s="1">
        <v>0.33333333333333298</v>
      </c>
      <c r="AE12" t="s">
        <v>289</v>
      </c>
      <c r="AF12" t="s">
        <v>262</v>
      </c>
      <c r="AH12" t="s">
        <v>289</v>
      </c>
      <c r="AI12" t="s">
        <v>262</v>
      </c>
      <c r="AK12" t="s">
        <v>289</v>
      </c>
      <c r="AL12" t="s">
        <v>262</v>
      </c>
      <c r="AQ12" t="s">
        <v>289</v>
      </c>
      <c r="AR12" t="s">
        <v>262</v>
      </c>
      <c r="AX12">
        <v>4</v>
      </c>
      <c r="AY12">
        <v>0.65</v>
      </c>
      <c r="BA12" t="str">
        <f t="shared" si="3"/>
        <v>Corridor/Transition &lt; 2.4 m wide</v>
      </c>
      <c r="BB12">
        <v>0</v>
      </c>
      <c r="BC12">
        <v>0</v>
      </c>
      <c r="BE12" t="s">
        <v>289</v>
      </c>
      <c r="BF12" t="s">
        <v>262</v>
      </c>
      <c r="BH12" t="s">
        <v>130</v>
      </c>
      <c r="BI12">
        <v>8.4</v>
      </c>
      <c r="BL12" t="s">
        <v>289</v>
      </c>
      <c r="BM12" t="s">
        <v>262</v>
      </c>
      <c r="BN12" t="str">
        <f t="shared" si="0"/>
        <v>Other</v>
      </c>
      <c r="BR12" t="s">
        <v>286</v>
      </c>
      <c r="BS12" t="str">
        <f>IF(Select_Units="SI",BT7,BS7)</f>
        <v>lx</v>
      </c>
      <c r="BT12">
        <f>IF(Select_Units="SI",1,Conv_Illum_IP_to_SI)</f>
        <v>1</v>
      </c>
      <c r="BW12" t="str">
        <f>CONCATENATE("Aire brute intérieure ",BY12)</f>
        <v>Aire brute intérieure - m2</v>
      </c>
      <c r="BX12" t="str">
        <f>CONCATENATE("Gross Interior Floor Area ",BY12)</f>
        <v>Gross Interior Floor Area - m2</v>
      </c>
      <c r="BY12" t="str">
        <f>IF(Select_Units="SI","- m2","- ft2")</f>
        <v>- m2</v>
      </c>
      <c r="CF12" t="str">
        <f t="shared" si="1"/>
        <v>Total installed lighting power in the space.</v>
      </c>
      <c r="FS12" s="49" t="str">
        <f t="shared" si="2"/>
        <v>Building conditioned Floor area:</v>
      </c>
      <c r="FT12" s="49"/>
    </row>
    <row r="13" spans="1:176" x14ac:dyDescent="0.25">
      <c r="B13" s="1">
        <v>0.29166666666666702</v>
      </c>
      <c r="J13">
        <v>208</v>
      </c>
      <c r="K13">
        <v>458</v>
      </c>
      <c r="L13">
        <v>708</v>
      </c>
      <c r="M13">
        <v>958</v>
      </c>
      <c r="N13">
        <v>1208</v>
      </c>
      <c r="O13">
        <v>1458</v>
      </c>
      <c r="P13">
        <v>1708</v>
      </c>
      <c r="Q13">
        <v>1958</v>
      </c>
      <c r="R13">
        <v>2208</v>
      </c>
      <c r="S13">
        <v>2425</v>
      </c>
      <c r="T13">
        <v>2588</v>
      </c>
      <c r="U13">
        <v>2724</v>
      </c>
      <c r="V13">
        <v>2825</v>
      </c>
      <c r="W13">
        <v>2860</v>
      </c>
      <c r="X13">
        <v>2860</v>
      </c>
      <c r="Y13">
        <v>2860</v>
      </c>
      <c r="Z13">
        <v>2860</v>
      </c>
      <c r="AB13" s="1">
        <v>0.375</v>
      </c>
      <c r="AC13" s="1">
        <v>0.375</v>
      </c>
      <c r="AE13" t="s">
        <v>418</v>
      </c>
      <c r="AF13" t="s">
        <v>39</v>
      </c>
      <c r="AH13" t="s">
        <v>419</v>
      </c>
      <c r="AI13" t="s">
        <v>43</v>
      </c>
      <c r="AK13" t="s">
        <v>300</v>
      </c>
      <c r="AL13" t="s">
        <v>73</v>
      </c>
      <c r="AQ13" t="s">
        <v>648</v>
      </c>
      <c r="AR13" t="s">
        <v>80</v>
      </c>
      <c r="AX13">
        <v>5</v>
      </c>
      <c r="AY13">
        <v>0.56999999999999995</v>
      </c>
      <c r="BA13" t="str">
        <f t="shared" si="3"/>
        <v>Dining Area - For Bar Lounge/Leisure Dining</v>
      </c>
      <c r="BB13">
        <v>0</v>
      </c>
      <c r="BC13">
        <v>0</v>
      </c>
      <c r="BE13" t="s">
        <v>290</v>
      </c>
      <c r="BF13" t="s">
        <v>39</v>
      </c>
      <c r="BH13" t="s">
        <v>149</v>
      </c>
      <c r="BI13">
        <v>14.1</v>
      </c>
      <c r="BL13" t="s">
        <v>298</v>
      </c>
      <c r="BM13" t="s">
        <v>242</v>
      </c>
      <c r="BW13" t="str">
        <f>CONCATENATE("Aire éclairée naturellement ",BY13)</f>
        <v>Aire éclairée naturellement - m2</v>
      </c>
      <c r="BX13" t="str">
        <f>CONCATENATE("Daylighted Area ",BY13)</f>
        <v>Daylighted Area - m2</v>
      </c>
      <c r="BY13" t="str">
        <f>IF(Select_Units="SI","- m2","- ft2")</f>
        <v>- m2</v>
      </c>
      <c r="CF13" t="str">
        <f t="shared" si="1"/>
        <v>Lighting operation starting hour for the space, as per Table 4.3.3.6.A of the NECB.</v>
      </c>
      <c r="FS13" s="49" t="str">
        <f t="shared" si="2"/>
        <v>Building Location Heating Degree-Days:</v>
      </c>
      <c r="FT13" s="49"/>
    </row>
    <row r="14" spans="1:176" x14ac:dyDescent="0.25">
      <c r="B14" s="1">
        <v>0.33333333333333398</v>
      </c>
      <c r="K14">
        <v>250</v>
      </c>
      <c r="L14">
        <v>500</v>
      </c>
      <c r="M14">
        <v>750</v>
      </c>
      <c r="N14">
        <v>1000</v>
      </c>
      <c r="O14">
        <v>1250</v>
      </c>
      <c r="P14">
        <v>1500</v>
      </c>
      <c r="Q14">
        <v>1750</v>
      </c>
      <c r="R14">
        <v>2000</v>
      </c>
      <c r="S14">
        <v>2217</v>
      </c>
      <c r="T14">
        <v>2380</v>
      </c>
      <c r="U14">
        <v>2516</v>
      </c>
      <c r="V14">
        <v>2617</v>
      </c>
      <c r="W14">
        <v>2652</v>
      </c>
      <c r="X14">
        <v>2652</v>
      </c>
      <c r="Y14">
        <v>2652</v>
      </c>
      <c r="Z14">
        <v>2652</v>
      </c>
      <c r="AB14" s="1">
        <v>0.41666666666666702</v>
      </c>
      <c r="AC14" s="1">
        <v>0.41666666666666702</v>
      </c>
      <c r="AE14" t="s">
        <v>291</v>
      </c>
      <c r="AF14" t="s">
        <v>40</v>
      </c>
      <c r="AH14" t="s">
        <v>292</v>
      </c>
      <c r="AI14" t="s">
        <v>44</v>
      </c>
      <c r="AK14" t="s">
        <v>301</v>
      </c>
      <c r="AL14" t="s">
        <v>74</v>
      </c>
      <c r="AQ14" t="s">
        <v>416</v>
      </c>
      <c r="AR14" t="s">
        <v>81</v>
      </c>
      <c r="AX14">
        <v>6</v>
      </c>
      <c r="AY14">
        <v>0.52</v>
      </c>
      <c r="BA14" t="str">
        <f t="shared" si="3"/>
        <v>Dining Area - For Family Dining</v>
      </c>
      <c r="BB14">
        <v>0</v>
      </c>
      <c r="BC14">
        <v>0</v>
      </c>
      <c r="BE14" t="s">
        <v>291</v>
      </c>
      <c r="BF14" t="s">
        <v>40</v>
      </c>
      <c r="BH14" t="s">
        <v>150</v>
      </c>
      <c r="BI14">
        <v>9.6</v>
      </c>
      <c r="BL14" t="s">
        <v>299</v>
      </c>
      <c r="BM14" t="s">
        <v>243</v>
      </c>
      <c r="BW14" t="s">
        <v>317</v>
      </c>
      <c r="BX14" t="s">
        <v>608</v>
      </c>
      <c r="CF14" t="str">
        <f t="shared" si="1"/>
        <v>Lighting operation ending hour for the space, as per Table 4.3.3.6.B of the NECB.</v>
      </c>
      <c r="FS14" s="49" t="str">
        <f t="shared" si="2"/>
        <v>Building Location Cooling Degree-Days:</v>
      </c>
      <c r="FT14" s="49"/>
    </row>
    <row r="15" spans="1:176" x14ac:dyDescent="0.25">
      <c r="B15" s="1">
        <v>0.375</v>
      </c>
      <c r="L15">
        <v>250</v>
      </c>
      <c r="M15">
        <v>500</v>
      </c>
      <c r="N15">
        <v>750</v>
      </c>
      <c r="O15">
        <v>1000</v>
      </c>
      <c r="P15">
        <v>1250</v>
      </c>
      <c r="Q15">
        <v>1500</v>
      </c>
      <c r="R15">
        <v>1750</v>
      </c>
      <c r="S15">
        <v>1967</v>
      </c>
      <c r="T15">
        <v>2130</v>
      </c>
      <c r="U15">
        <v>2266</v>
      </c>
      <c r="V15">
        <v>2367</v>
      </c>
      <c r="W15">
        <v>2402</v>
      </c>
      <c r="X15">
        <v>2402</v>
      </c>
      <c r="Y15">
        <v>2402</v>
      </c>
      <c r="Z15">
        <v>2402</v>
      </c>
      <c r="AB15" s="1">
        <v>0.45833333333333298</v>
      </c>
      <c r="AC15" s="1">
        <v>0.45833333333333298</v>
      </c>
      <c r="AE15" t="s">
        <v>592</v>
      </c>
      <c r="AF15" t="s">
        <v>591</v>
      </c>
      <c r="AH15" t="s">
        <v>420</v>
      </c>
      <c r="AI15" t="s">
        <v>45</v>
      </c>
      <c r="AK15" t="s">
        <v>302</v>
      </c>
      <c r="AL15" t="s">
        <v>75</v>
      </c>
      <c r="AQ15" t="s">
        <v>417</v>
      </c>
      <c r="AR15" t="s">
        <v>82</v>
      </c>
      <c r="AX15">
        <v>7</v>
      </c>
      <c r="AY15">
        <v>0.47</v>
      </c>
      <c r="BA15" t="str">
        <f t="shared" si="3"/>
        <v>Dining Area - Other</v>
      </c>
      <c r="BB15">
        <v>0</v>
      </c>
      <c r="BC15">
        <v>0</v>
      </c>
      <c r="BE15" t="s">
        <v>293</v>
      </c>
      <c r="BF15" t="s">
        <v>590</v>
      </c>
      <c r="BH15" t="s">
        <v>151</v>
      </c>
      <c r="BI15">
        <v>7</v>
      </c>
      <c r="BN15" t="s">
        <v>289</v>
      </c>
      <c r="BO15" t="s">
        <v>262</v>
      </c>
      <c r="BP15" t="s">
        <v>289</v>
      </c>
      <c r="BQ15" t="s">
        <v>262</v>
      </c>
      <c r="BR15" t="s">
        <v>289</v>
      </c>
      <c r="BS15" t="s">
        <v>262</v>
      </c>
      <c r="BW15" t="s">
        <v>318</v>
      </c>
      <c r="BX15" t="s">
        <v>609</v>
      </c>
      <c r="CF15" t="str">
        <f t="shared" si="1"/>
        <v>Defines the primary source of daylight, either sidelighting or toplighting. Sidelighting means the illumination of building interiors with daylight admitted through fenestration located on an exterior wall, such as windows. Toplighting means the illumination of building interiors with daylight admitted through fenestration located on the roof, such as skylights and rooftop monitors. Refer to Article 4.3.2.3 of NECB.</v>
      </c>
      <c r="FS15" s="49" t="str">
        <f t="shared" si="2"/>
        <v>Number of space defined in the Building:</v>
      </c>
      <c r="FT15" s="49"/>
    </row>
    <row r="16" spans="1:176" x14ac:dyDescent="0.25">
      <c r="B16" s="1">
        <v>0.41666666666666702</v>
      </c>
      <c r="M16">
        <v>250</v>
      </c>
      <c r="N16">
        <v>500</v>
      </c>
      <c r="O16">
        <v>750</v>
      </c>
      <c r="P16">
        <v>1000</v>
      </c>
      <c r="Q16">
        <v>1250</v>
      </c>
      <c r="R16">
        <v>1500</v>
      </c>
      <c r="S16">
        <v>1717</v>
      </c>
      <c r="T16">
        <v>1880</v>
      </c>
      <c r="U16">
        <v>2016</v>
      </c>
      <c r="V16">
        <v>2117</v>
      </c>
      <c r="W16">
        <v>2152</v>
      </c>
      <c r="X16">
        <v>2152</v>
      </c>
      <c r="Y16">
        <v>2152</v>
      </c>
      <c r="Z16">
        <v>2152</v>
      </c>
      <c r="AB16" s="1">
        <v>0.5</v>
      </c>
      <c r="AC16" s="1">
        <v>0.5</v>
      </c>
      <c r="AH16" t="s">
        <v>418</v>
      </c>
      <c r="AI16" t="s">
        <v>39</v>
      </c>
      <c r="AK16" t="s">
        <v>303</v>
      </c>
      <c r="AL16" t="s">
        <v>76</v>
      </c>
      <c r="AX16">
        <v>8</v>
      </c>
      <c r="AY16">
        <v>0.41</v>
      </c>
      <c r="BA16" t="str">
        <f t="shared" si="3"/>
        <v>Dressing/Fitting Room for Performing Arts Theatre</v>
      </c>
      <c r="BB16">
        <v>0.4</v>
      </c>
      <c r="BC16">
        <v>0</v>
      </c>
      <c r="BH16" t="s">
        <v>152</v>
      </c>
      <c r="BI16">
        <v>4.3</v>
      </c>
      <c r="BN16" t="s">
        <v>421</v>
      </c>
      <c r="BO16" t="s">
        <v>246</v>
      </c>
      <c r="BP16" t="s">
        <v>646</v>
      </c>
      <c r="BQ16" t="s">
        <v>264</v>
      </c>
      <c r="BR16" t="s">
        <v>307</v>
      </c>
      <c r="BS16" t="s">
        <v>281</v>
      </c>
      <c r="BW16" t="s">
        <v>319</v>
      </c>
      <c r="BX16" t="s">
        <v>610</v>
      </c>
      <c r="CF16" t="str">
        <f t="shared" si="1"/>
        <v>Specify if the daylight control mechanism is automatic or manual or whether there is no shading, as per Table 4.3.2.7.A of the NECB.</v>
      </c>
      <c r="FS16" s="49" t="str">
        <f t="shared" si="2"/>
        <v>Overall HVAC-TOI:</v>
      </c>
      <c r="FT16" s="49"/>
    </row>
    <row r="17" spans="2:176" x14ac:dyDescent="0.25">
      <c r="B17" s="1">
        <v>0.45833333333333398</v>
      </c>
      <c r="N17">
        <v>250</v>
      </c>
      <c r="O17">
        <v>500</v>
      </c>
      <c r="P17">
        <v>750</v>
      </c>
      <c r="Q17">
        <v>1000</v>
      </c>
      <c r="R17">
        <v>1250</v>
      </c>
      <c r="S17">
        <v>1467</v>
      </c>
      <c r="T17">
        <v>1630</v>
      </c>
      <c r="U17">
        <v>1766</v>
      </c>
      <c r="V17">
        <v>1867</v>
      </c>
      <c r="W17">
        <v>1902</v>
      </c>
      <c r="X17">
        <v>1902</v>
      </c>
      <c r="Y17">
        <v>1902</v>
      </c>
      <c r="Z17">
        <v>1902</v>
      </c>
      <c r="AB17" s="1">
        <v>0.54166666666666696</v>
      </c>
      <c r="AC17" s="1">
        <v>0.54166666666666696</v>
      </c>
      <c r="AH17" t="s">
        <v>592</v>
      </c>
      <c r="AI17" t="s">
        <v>593</v>
      </c>
      <c r="AX17">
        <v>9</v>
      </c>
      <c r="AY17">
        <v>0.35</v>
      </c>
      <c r="BA17" t="str">
        <f t="shared" si="3"/>
        <v>Electrical / Mechanical</v>
      </c>
      <c r="BB17">
        <v>0.9</v>
      </c>
      <c r="BC17">
        <v>0</v>
      </c>
      <c r="BH17" t="s">
        <v>132</v>
      </c>
      <c r="BI17">
        <v>13.4</v>
      </c>
      <c r="BN17" t="s">
        <v>321</v>
      </c>
      <c r="BO17" t="s">
        <v>247</v>
      </c>
      <c r="BP17" t="s">
        <v>634</v>
      </c>
      <c r="BQ17" t="s">
        <v>265</v>
      </c>
      <c r="BR17" t="s">
        <v>308</v>
      </c>
      <c r="BS17" t="s">
        <v>283</v>
      </c>
      <c r="BW17" t="s">
        <v>320</v>
      </c>
      <c r="BX17" t="s">
        <v>611</v>
      </c>
      <c r="CF17" t="str">
        <f t="shared" si="1"/>
        <v>Specify if the type of daylight control used, as per Table 4.3.2.7.B of the NECB.</v>
      </c>
      <c r="FS17" s="49" t="str">
        <f t="shared" si="2"/>
        <v>Number of Compliant Systems:</v>
      </c>
      <c r="FT17" s="49"/>
    </row>
    <row r="18" spans="2:176" x14ac:dyDescent="0.25">
      <c r="B18" s="1">
        <v>0.5</v>
      </c>
      <c r="O18">
        <v>250</v>
      </c>
      <c r="P18">
        <v>500</v>
      </c>
      <c r="Q18">
        <v>750</v>
      </c>
      <c r="R18">
        <v>1000</v>
      </c>
      <c r="S18">
        <v>1217</v>
      </c>
      <c r="T18">
        <v>1380</v>
      </c>
      <c r="U18">
        <v>1516</v>
      </c>
      <c r="V18">
        <v>1617</v>
      </c>
      <c r="W18">
        <v>1652</v>
      </c>
      <c r="X18">
        <v>1652</v>
      </c>
      <c r="Y18">
        <v>1652</v>
      </c>
      <c r="Z18">
        <v>1652</v>
      </c>
      <c r="AB18" s="1">
        <v>0.58333333333333304</v>
      </c>
      <c r="AC18" s="1">
        <v>0.58333333333333304</v>
      </c>
      <c r="AX18">
        <v>10</v>
      </c>
      <c r="AY18">
        <v>0.28999999999999998</v>
      </c>
      <c r="BA18" t="str">
        <f t="shared" si="3"/>
        <v>Food Preparation</v>
      </c>
      <c r="BB18">
        <v>0</v>
      </c>
      <c r="BC18">
        <v>0</v>
      </c>
      <c r="BH18" t="s">
        <v>133</v>
      </c>
      <c r="BI18">
        <v>10.7</v>
      </c>
      <c r="BN18" t="s">
        <v>422</v>
      </c>
      <c r="BO18" t="s">
        <v>248</v>
      </c>
      <c r="BP18" t="s">
        <v>305</v>
      </c>
      <c r="BQ18" t="s">
        <v>304</v>
      </c>
      <c r="BR18" t="s">
        <v>288</v>
      </c>
      <c r="BS18" t="s">
        <v>288</v>
      </c>
      <c r="BU18" s="57"/>
      <c r="BW18" t="s">
        <v>428</v>
      </c>
      <c r="BX18" t="s">
        <v>612</v>
      </c>
      <c r="CF18" t="str">
        <f t="shared" si="1"/>
        <v>Enter the orientation of the fenestration providing sidelighting as per Article 4.3.2.8 and table 4.3.2.8 of the NECB.</v>
      </c>
      <c r="FS18" s="49" t="str">
        <f t="shared" si="2"/>
        <v>Number of non-Compliant Systems:</v>
      </c>
      <c r="FT18" s="49"/>
    </row>
    <row r="19" spans="2:176" x14ac:dyDescent="0.25">
      <c r="B19" s="1">
        <v>0.54166666666666696</v>
      </c>
      <c r="P19">
        <v>250</v>
      </c>
      <c r="Q19">
        <v>500</v>
      </c>
      <c r="R19">
        <v>750</v>
      </c>
      <c r="S19">
        <v>967</v>
      </c>
      <c r="T19">
        <v>1130</v>
      </c>
      <c r="U19">
        <v>1266</v>
      </c>
      <c r="V19">
        <v>1367</v>
      </c>
      <c r="W19">
        <v>1402</v>
      </c>
      <c r="X19">
        <v>1402</v>
      </c>
      <c r="Y19">
        <v>1402</v>
      </c>
      <c r="Z19">
        <v>1402</v>
      </c>
      <c r="AB19" s="1">
        <v>0.625</v>
      </c>
      <c r="AC19" s="1">
        <v>0.625</v>
      </c>
      <c r="BA19" t="str">
        <f t="shared" si="3"/>
        <v>Laboratory - For Classrooms</v>
      </c>
      <c r="BB19">
        <v>0.4</v>
      </c>
      <c r="BC19">
        <v>0.1</v>
      </c>
      <c r="BH19" t="s">
        <v>153</v>
      </c>
      <c r="BI19">
        <v>17.2</v>
      </c>
      <c r="BN19" t="s">
        <v>423</v>
      </c>
      <c r="BO19" t="s">
        <v>249</v>
      </c>
      <c r="BW19" t="s">
        <v>430</v>
      </c>
      <c r="BX19" t="s">
        <v>613</v>
      </c>
      <c r="CF19" t="str">
        <f t="shared" si="1"/>
        <v>Enter the design illuminance of the space. According to Articles 4.3.2.8. and 4.3.2.9. of the NECB, the allowable range of illuminance values is between 300 lx (27.82 fc) and 1000 lx (92.90 fc) (refer to NECB Appendix A-Table 4.3.2.8.).</v>
      </c>
      <c r="FS19" s="49" t="str">
        <f t="shared" si="2"/>
        <v>Statement of Compliance</v>
      </c>
      <c r="FT19" s="49"/>
    </row>
    <row r="20" spans="2:176" x14ac:dyDescent="0.25">
      <c r="B20" s="1">
        <v>0.58333333333333404</v>
      </c>
      <c r="Q20">
        <v>250</v>
      </c>
      <c r="R20">
        <v>500</v>
      </c>
      <c r="S20">
        <v>717</v>
      </c>
      <c r="T20">
        <v>880</v>
      </c>
      <c r="U20">
        <v>1016</v>
      </c>
      <c r="V20">
        <v>1117</v>
      </c>
      <c r="W20">
        <v>1152</v>
      </c>
      <c r="X20">
        <v>1152</v>
      </c>
      <c r="Y20">
        <v>1152</v>
      </c>
      <c r="Z20">
        <v>1152</v>
      </c>
      <c r="AB20" s="1">
        <v>0.66666666666666696</v>
      </c>
      <c r="AC20" s="1">
        <v>0.66666666666666696</v>
      </c>
      <c r="AJ20" t="s">
        <v>647</v>
      </c>
      <c r="AK20">
        <f>IF(Select_Units="SI",300,27.87)</f>
        <v>300</v>
      </c>
      <c r="BA20" t="str">
        <f t="shared" si="3"/>
        <v>Laboratory - For Medical/Industrial/Research</v>
      </c>
      <c r="BB20">
        <v>0</v>
      </c>
      <c r="BC20">
        <v>0</v>
      </c>
      <c r="BH20" t="s">
        <v>154</v>
      </c>
      <c r="BI20">
        <v>23.6</v>
      </c>
      <c r="BN20" t="s">
        <v>424</v>
      </c>
      <c r="BO20" t="s">
        <v>250</v>
      </c>
      <c r="BW20" t="s">
        <v>431</v>
      </c>
      <c r="BX20" t="s">
        <v>614</v>
      </c>
      <c r="CF20" t="str">
        <f t="shared" si="1"/>
        <v>This field indicates whether automatic daylight controls are required in the reference space. No user input required.</v>
      </c>
      <c r="FS20" s="49" t="str">
        <f t="shared" si="2"/>
        <v xml:space="preserve">This Certificate of Compliance lists the Building features as per actual building permit drawings and specifications in accordance with Part 4.3 of the National Energy Code for Buildings. </v>
      </c>
      <c r="FT20" s="49"/>
    </row>
    <row r="21" spans="2:176" x14ac:dyDescent="0.25">
      <c r="B21" s="1">
        <v>0.625</v>
      </c>
      <c r="R21">
        <v>250</v>
      </c>
      <c r="S21">
        <v>467</v>
      </c>
      <c r="T21">
        <v>630</v>
      </c>
      <c r="U21">
        <v>766</v>
      </c>
      <c r="V21">
        <v>867</v>
      </c>
      <c r="W21">
        <v>902</v>
      </c>
      <c r="X21">
        <v>902</v>
      </c>
      <c r="Y21">
        <v>902</v>
      </c>
      <c r="Z21">
        <v>902</v>
      </c>
      <c r="AB21" s="1">
        <v>0.70833333333333304</v>
      </c>
      <c r="AC21" s="1">
        <v>0.70833333333333304</v>
      </c>
      <c r="AK21">
        <f>IF(Select_Units="SI",1000,92.904)</f>
        <v>1000</v>
      </c>
      <c r="BA21" t="str">
        <f t="shared" si="3"/>
        <v>Lobby - For Elevator</v>
      </c>
      <c r="BB21">
        <v>0</v>
      </c>
      <c r="BC21">
        <v>0</v>
      </c>
      <c r="BH21" t="s">
        <v>155</v>
      </c>
      <c r="BI21">
        <v>6.9</v>
      </c>
      <c r="BN21" t="s">
        <v>425</v>
      </c>
      <c r="BO21" t="s">
        <v>251</v>
      </c>
      <c r="BW21" t="str">
        <f>CONCATENATE("Éclairement nominal ",BY21)</f>
        <v>Éclairement nominal - lx</v>
      </c>
      <c r="BX21" t="str">
        <f>CONCATENATE("Design Illuminance ",BY21)</f>
        <v>Design Illuminance - lx</v>
      </c>
      <c r="BY21" t="str">
        <f>IF(Select_Units="SI","- lx","- fc")</f>
        <v>- lx</v>
      </c>
      <c r="CF21" t="str">
        <f t="shared" si="1"/>
        <v>Effective luminous transmittance of the glazing providing daylighting, as specified in Article 4.3.2.8 of the NECB.</v>
      </c>
      <c r="FS21" s="49" t="str">
        <f t="shared" si="2"/>
        <v>National Energy Code for Buildings</v>
      </c>
      <c r="FT21" s="49"/>
    </row>
    <row r="22" spans="2:176" x14ac:dyDescent="0.25">
      <c r="B22" s="1">
        <v>0.66666666666666696</v>
      </c>
      <c r="S22">
        <v>217</v>
      </c>
      <c r="T22">
        <v>380</v>
      </c>
      <c r="U22">
        <v>516</v>
      </c>
      <c r="V22">
        <v>617</v>
      </c>
      <c r="W22">
        <v>652</v>
      </c>
      <c r="X22">
        <v>652</v>
      </c>
      <c r="Y22">
        <v>652</v>
      </c>
      <c r="Z22">
        <v>652</v>
      </c>
      <c r="AB22" s="1">
        <v>0.75</v>
      </c>
      <c r="AC22" s="1">
        <v>0.75</v>
      </c>
      <c r="BA22" t="str">
        <f t="shared" si="3"/>
        <v>Lobby - For Performing Arts Theatre</v>
      </c>
      <c r="BB22">
        <v>0</v>
      </c>
      <c r="BC22">
        <v>0</v>
      </c>
      <c r="BH22" t="s">
        <v>156</v>
      </c>
      <c r="BI22">
        <v>21.5</v>
      </c>
      <c r="BN22" t="s">
        <v>336</v>
      </c>
      <c r="BO22" t="s">
        <v>138</v>
      </c>
      <c r="BW22" t="s">
        <v>659</v>
      </c>
      <c r="BX22" t="s">
        <v>663</v>
      </c>
      <c r="CF22" t="str">
        <f t="shared" si="1"/>
        <v>The framing factor is defined as the ratio of glazed area to overall area of the opening including area of framing. For toplighting only, if this factor is unknown it can be set to 0.7. See Articles 4.3.2.8  and 4.3.2.9 of the NECB.</v>
      </c>
      <c r="FS22" s="49" t="str">
        <f t="shared" si="2"/>
        <v>Documentation Author</v>
      </c>
      <c r="FT22" s="49"/>
    </row>
    <row r="23" spans="2:176" x14ac:dyDescent="0.25">
      <c r="B23" s="1">
        <v>0.70833333333333404</v>
      </c>
      <c r="T23">
        <v>163</v>
      </c>
      <c r="U23">
        <v>299</v>
      </c>
      <c r="V23">
        <v>400</v>
      </c>
      <c r="W23">
        <v>434</v>
      </c>
      <c r="X23">
        <v>434</v>
      </c>
      <c r="Y23">
        <v>434</v>
      </c>
      <c r="Z23">
        <v>434</v>
      </c>
      <c r="AB23" s="1">
        <v>0.79166666666666696</v>
      </c>
      <c r="AC23" s="1">
        <v>0.79166666666666696</v>
      </c>
      <c r="BA23" t="str">
        <f t="shared" si="3"/>
        <v>Lobby - For Motion Picture Theatre</v>
      </c>
      <c r="BB23">
        <v>0</v>
      </c>
      <c r="BC23">
        <v>0</v>
      </c>
      <c r="BH23" t="s">
        <v>157</v>
      </c>
      <c r="BI23">
        <v>5.6</v>
      </c>
      <c r="BN23" t="s">
        <v>426</v>
      </c>
      <c r="BO23" t="s">
        <v>252</v>
      </c>
      <c r="BW23" t="s">
        <v>447</v>
      </c>
      <c r="BX23" t="s">
        <v>615</v>
      </c>
      <c r="CF23" t="str">
        <f t="shared" si="1"/>
        <v>This factor accounts for dirt accumulation on fenestration. If unknown, this factor is to be set to 0.8 for sidelighting and 0.9 for toplighting. See Articles 4.3.2.8  and 4.3.2.9 of the NECB.</v>
      </c>
      <c r="FS23" s="49" t="str">
        <f t="shared" si="2"/>
        <v xml:space="preserve">The Coordinating Professional hereby certifies that the proposed building design represented in the construction documents and modelled for this permit application are consistent with all other forms and worksheets, specifications, and other calculations submitted with this permit application.  The proposed building, as designed, meets the requirements of the National Energy Code for Buildings. </v>
      </c>
      <c r="FT23" s="49"/>
    </row>
    <row r="24" spans="2:176" x14ac:dyDescent="0.25">
      <c r="B24" s="1">
        <v>0.75</v>
      </c>
      <c r="U24">
        <v>136</v>
      </c>
      <c r="V24">
        <v>237</v>
      </c>
      <c r="W24">
        <v>271</v>
      </c>
      <c r="X24">
        <v>271</v>
      </c>
      <c r="Y24">
        <v>271</v>
      </c>
      <c r="Z24">
        <v>271</v>
      </c>
      <c r="AB24" s="1">
        <v>0.83333333333333304</v>
      </c>
      <c r="AC24" s="1">
        <v>0.83333333333333304</v>
      </c>
      <c r="AD24" s="2"/>
      <c r="BA24" t="str">
        <f t="shared" si="3"/>
        <v>Lobby - Other</v>
      </c>
      <c r="BB24">
        <v>0</v>
      </c>
      <c r="BC24">
        <v>0</v>
      </c>
      <c r="BH24" t="s">
        <v>158</v>
      </c>
      <c r="BI24">
        <v>9.6999999999999993</v>
      </c>
      <c r="BN24" t="s">
        <v>322</v>
      </c>
      <c r="BO24" t="s">
        <v>131</v>
      </c>
      <c r="BW24" t="s">
        <v>432</v>
      </c>
      <c r="BX24" t="s">
        <v>275</v>
      </c>
      <c r="CF24" t="str">
        <f t="shared" si="1"/>
        <v>This factor accounts for non-perpendicular light incidence. If unknown, this factor is to be set to 0.85. See Articles 4.3.2.8  and 4.3.2.9 of the NECB.</v>
      </c>
      <c r="FS24" s="49" t="str">
        <f t="shared" si="2"/>
        <v>I hereby affirm that I am eligible, under the provisions of the authorities having jurisdiction, to sign this document as the person responsible for its preparation; and that I am licensed as a civil engineer, mechanical engineer, electrical engineer or architect.</v>
      </c>
      <c r="FT24" s="49"/>
    </row>
    <row r="25" spans="2:176" x14ac:dyDescent="0.25">
      <c r="B25" s="1">
        <v>0.79166666666666696</v>
      </c>
      <c r="V25">
        <v>101</v>
      </c>
      <c r="W25">
        <v>136</v>
      </c>
      <c r="X25">
        <v>136</v>
      </c>
      <c r="Y25">
        <v>136</v>
      </c>
      <c r="Z25">
        <v>136</v>
      </c>
      <c r="AB25" s="1">
        <v>0.875</v>
      </c>
      <c r="AC25" s="1">
        <v>0.875</v>
      </c>
      <c r="BA25" t="str">
        <f t="shared" si="3"/>
        <v>Locker Room</v>
      </c>
      <c r="BB25">
        <v>0.5</v>
      </c>
      <c r="BC25">
        <v>0</v>
      </c>
      <c r="BH25" t="s">
        <v>134</v>
      </c>
      <c r="BI25">
        <v>9.8000000000000007</v>
      </c>
      <c r="BW25" t="s">
        <v>433</v>
      </c>
      <c r="BX25" t="s">
        <v>616</v>
      </c>
      <c r="CF25" t="str">
        <f t="shared" si="1"/>
        <v>Angle from the centre of the fenestration to the top of the horizontal obstruction. Refer to Article 4.3.2.8 of the NECB.</v>
      </c>
      <c r="FS25" s="49" t="str">
        <f t="shared" si="2"/>
        <v xml:space="preserve">I affirm that I am eligible to sign this document as the person responsible for its preparation; and for the following reason: </v>
      </c>
      <c r="FT25" s="49"/>
    </row>
    <row r="26" spans="2:176" x14ac:dyDescent="0.25">
      <c r="B26" s="1">
        <v>0.83333333333333404</v>
      </c>
      <c r="W26">
        <v>35</v>
      </c>
      <c r="X26">
        <v>35</v>
      </c>
      <c r="Y26">
        <v>35</v>
      </c>
      <c r="Z26">
        <v>35</v>
      </c>
      <c r="AB26" s="1">
        <v>0.91666666666666696</v>
      </c>
      <c r="AC26" s="1">
        <v>0.91666666666666696</v>
      </c>
      <c r="BA26" t="str">
        <f t="shared" si="3"/>
        <v>Lounge/Recreation</v>
      </c>
      <c r="BB26">
        <v>0</v>
      </c>
      <c r="BC26">
        <v>0</v>
      </c>
      <c r="BH26" t="s">
        <v>135</v>
      </c>
      <c r="BI26">
        <v>9.4</v>
      </c>
      <c r="BW26" t="s">
        <v>434</v>
      </c>
      <c r="BX26" t="s">
        <v>622</v>
      </c>
      <c r="CF26" t="str">
        <f t="shared" si="1"/>
        <v>Enter the total area of rough opening for toplighting. Refer to Article 4.3.2.9 and Appendix A of the NECB.</v>
      </c>
      <c r="FS26" s="49" t="str">
        <f t="shared" si="2"/>
        <v>Coordinating Professional:</v>
      </c>
      <c r="FT26" s="49"/>
    </row>
    <row r="27" spans="2:176" x14ac:dyDescent="0.25">
      <c r="B27" s="1">
        <v>0.875</v>
      </c>
      <c r="X27">
        <v>0</v>
      </c>
      <c r="Y27">
        <v>0</v>
      </c>
      <c r="Z27">
        <v>0</v>
      </c>
      <c r="AB27" s="1">
        <v>0.95833333333333304</v>
      </c>
      <c r="AC27" s="1">
        <v>0.95833333333333304</v>
      </c>
      <c r="BA27" t="str">
        <f t="shared" si="3"/>
        <v>Office - Enclosed</v>
      </c>
      <c r="BB27">
        <v>0.3</v>
      </c>
      <c r="BC27">
        <v>0.1</v>
      </c>
      <c r="BH27" t="s">
        <v>136</v>
      </c>
      <c r="BI27">
        <v>11.9</v>
      </c>
      <c r="BW27" t="s">
        <v>323</v>
      </c>
      <c r="BX27" t="s">
        <v>617</v>
      </c>
      <c r="CF27" t="str">
        <f t="shared" si="1"/>
        <v>Enter the length of the space having toplighting to allow calculating the room cavity ratio, RCR,  as defined in Article 4.3.2.9 of the NECB.</v>
      </c>
      <c r="FS27" s="49" t="str">
        <f t="shared" si="2"/>
        <v>Date:</v>
      </c>
      <c r="FT27" s="49"/>
    </row>
    <row r="28" spans="2:176" x14ac:dyDescent="0.25">
      <c r="B28" s="1">
        <v>0.91666666666666696</v>
      </c>
      <c r="Y28">
        <v>0</v>
      </c>
      <c r="Z28">
        <v>0</v>
      </c>
      <c r="BA28" t="str">
        <f t="shared" si="3"/>
        <v>Office - Open Plan</v>
      </c>
      <c r="BB28">
        <v>0.2</v>
      </c>
      <c r="BC28">
        <v>0.1</v>
      </c>
      <c r="BH28" t="s">
        <v>137</v>
      </c>
      <c r="BI28">
        <v>11</v>
      </c>
      <c r="BW28" t="str">
        <f>CONCATENATE("Aire brute des ouvertures fournissant l'éclairage zénithal ",BY28)</f>
        <v>Aire brute des ouvertures fournissant l'éclairage zénithal - m2</v>
      </c>
      <c r="BX28" t="str">
        <f>CONCATENATE("Total Area of Rough Opening for Toplighting ",BY28)</f>
        <v>Total Area of Rough Opening for Toplighting - m2</v>
      </c>
      <c r="BY28" t="str">
        <f>IF(Select_Units="SI","- m2","- ft2")</f>
        <v>- m2</v>
      </c>
      <c r="CF28" t="str">
        <f t="shared" si="1"/>
        <v>Enter the height of the space having toplighting to allow calculating the room cavity ratio, RCR,  as defined in Article 4.3.2.9 of the NECB.</v>
      </c>
      <c r="FS28" s="49" t="str">
        <f t="shared" si="2"/>
        <v>Signature:</v>
      </c>
      <c r="FT28" s="49"/>
    </row>
    <row r="29" spans="2:176" x14ac:dyDescent="0.25">
      <c r="B29" s="1">
        <v>0.95833333333333404</v>
      </c>
      <c r="Z29">
        <v>0</v>
      </c>
      <c r="BA29" t="str">
        <f t="shared" si="3"/>
        <v>Sales Area</v>
      </c>
      <c r="BB29">
        <v>0</v>
      </c>
      <c r="BC29">
        <v>0</v>
      </c>
      <c r="BH29" t="s">
        <v>139</v>
      </c>
      <c r="BI29">
        <v>18.100000000000001</v>
      </c>
      <c r="BW29" t="str">
        <f>CONCATENATE("Hauteur de l'espace ",BY29)</f>
        <v>Hauteur de l'espace - m</v>
      </c>
      <c r="BX29" t="str">
        <f>CONCATENATE("Height of the Space ",BY29)</f>
        <v>Height of the Space - m</v>
      </c>
      <c r="BY29" t="str">
        <f>IF(Select_Units="SI","- m","- ft")</f>
        <v>- m</v>
      </c>
      <c r="CF29" t="str">
        <f t="shared" si="1"/>
        <v>Enter the width of the space having toplighting to allow calculating the room cavity ratio, RCR,  as defined in Article 4.3.2.9 of the NECB.</v>
      </c>
      <c r="FS29" s="49" t="str">
        <f t="shared" si="2"/>
        <v>Check One</v>
      </c>
      <c r="FT29" s="49"/>
    </row>
    <row r="30" spans="2:176" x14ac:dyDescent="0.25">
      <c r="BA30" t="str">
        <f t="shared" si="3"/>
        <v>Stairway</v>
      </c>
      <c r="BB30">
        <v>0</v>
      </c>
      <c r="BC30">
        <v>0</v>
      </c>
      <c r="BH30" t="s">
        <v>140</v>
      </c>
      <c r="BI30">
        <v>7.4</v>
      </c>
      <c r="BW30" t="str">
        <f>CONCATENATE("Longueur de l'espace ",BY30)</f>
        <v>Longueur de l'espace - m</v>
      </c>
      <c r="BX30" t="str">
        <f>CONCATENATE("Length of the Space ",BY30)</f>
        <v>Length of the Space - m</v>
      </c>
      <c r="BY30" t="str">
        <f>IF(Select_Units="SI","- m","- ft")</f>
        <v>- m</v>
      </c>
      <c r="CF30" t="str">
        <f t="shared" si="1"/>
        <v>The Installed Interior Lighting Energy, which is the total annual energy consumption of interior lighting in the spaces of the Proposed Building. The IILE must be equal or lower to the ILEA for a building to be compliant to section 4.3 of the NECB.</v>
      </c>
      <c r="FS30" s="49" t="str">
        <f t="shared" si="2"/>
        <v>Summary compliance results</v>
      </c>
      <c r="FT30" s="49"/>
    </row>
    <row r="31" spans="2:176" ht="18" x14ac:dyDescent="0.35">
      <c r="B31" t="s">
        <v>32</v>
      </c>
      <c r="BA31" t="str">
        <f t="shared" si="3"/>
        <v>Storage Area</v>
      </c>
      <c r="BB31">
        <v>0.6</v>
      </c>
      <c r="BC31">
        <v>0</v>
      </c>
      <c r="BH31" t="s">
        <v>159</v>
      </c>
      <c r="BI31">
        <v>6.8</v>
      </c>
      <c r="BW31" t="str">
        <f>CONCATENATE("Largeur de l'espace ",BY31)</f>
        <v>Largeur de l'espace - m</v>
      </c>
      <c r="BX31" t="str">
        <f>CONCATENATE("Width of the Space ",BY31)</f>
        <v>Width of the Space - m</v>
      </c>
      <c r="BY31" t="str">
        <f>IF(Select_Units="SI","- m","- ft")</f>
        <v>- m</v>
      </c>
      <c r="CF31" t="str">
        <f t="shared" si="1"/>
        <v>The Interior Lighting Energy Allowance is the maximum allowed annual energy consumption of all interior lighting complying with the prescriptive lighting power densities determined using the space-by-space method in Article 4.2.1.6 and with the prescriptive lighting controls of Subsection 4.2.2 of the NECB.</v>
      </c>
      <c r="FS31" s="49" t="str">
        <f t="shared" si="2"/>
        <v>National Energy Code of Canada for Buildings – 2011</v>
      </c>
      <c r="FT31" s="49"/>
    </row>
    <row r="32" spans="2:176" x14ac:dyDescent="0.25">
      <c r="BA32" t="str">
        <f t="shared" si="3"/>
        <v>Washrooms</v>
      </c>
      <c r="BB32">
        <v>0.5</v>
      </c>
      <c r="BC32">
        <v>0</v>
      </c>
      <c r="BH32" t="s">
        <v>138</v>
      </c>
      <c r="BI32">
        <v>10.5</v>
      </c>
      <c r="BW32" t="s">
        <v>266</v>
      </c>
      <c r="BX32" t="s">
        <v>266</v>
      </c>
      <c r="CF32" t="str">
        <f t="shared" si="1"/>
        <v>Indicate whether the space is provided with personal controls. This field is required to determine the factor for personal control in the proposed building. Refer to Article 4.3.2.10. of the NECB.</v>
      </c>
      <c r="FS32" s="49">
        <f t="shared" si="2"/>
        <v>0</v>
      </c>
      <c r="FT32" s="49"/>
    </row>
    <row r="33" spans="2:176" x14ac:dyDescent="0.25">
      <c r="B33" t="s">
        <v>31</v>
      </c>
      <c r="C33" s="1">
        <v>4.1666666666666664E-2</v>
      </c>
      <c r="D33" s="1">
        <v>8.3333333333333329E-2</v>
      </c>
      <c r="E33" s="1">
        <v>0.125</v>
      </c>
      <c r="F33" s="1">
        <v>0.16666666666666699</v>
      </c>
      <c r="G33" s="1">
        <v>0.20833333333333401</v>
      </c>
      <c r="H33" s="1">
        <v>0.25</v>
      </c>
      <c r="I33" s="1">
        <v>0.29166666666666702</v>
      </c>
      <c r="J33" s="1">
        <v>0.33333333333333398</v>
      </c>
      <c r="K33" s="1">
        <v>0.375</v>
      </c>
      <c r="L33" s="1">
        <v>0.41666666666666702</v>
      </c>
      <c r="M33" s="1">
        <v>0.45833333333333398</v>
      </c>
      <c r="N33" s="1">
        <v>0.5</v>
      </c>
      <c r="O33" s="1">
        <v>0.54166666666666696</v>
      </c>
      <c r="P33" s="1">
        <v>0.58333333333333404</v>
      </c>
      <c r="Q33" s="1">
        <v>0.625</v>
      </c>
      <c r="R33" s="1">
        <v>0.66666666666666696</v>
      </c>
      <c r="S33" s="1">
        <v>0.70833333333333404</v>
      </c>
      <c r="T33" s="1">
        <v>0.75</v>
      </c>
      <c r="U33" s="1">
        <v>0.79166666666666696</v>
      </c>
      <c r="V33" s="1">
        <v>0.83333333333333404</v>
      </c>
      <c r="W33" s="1">
        <v>0.875</v>
      </c>
      <c r="X33" s="1">
        <v>0.91666666666666696</v>
      </c>
      <c r="Y33" s="1">
        <v>0.95833333333333404</v>
      </c>
      <c r="Z33" s="1">
        <v>1</v>
      </c>
      <c r="BA33" t="str">
        <f t="shared" si="3"/>
        <v>Workshop</v>
      </c>
      <c r="BB33">
        <v>0</v>
      </c>
      <c r="BC33">
        <v>0</v>
      </c>
      <c r="BH33" t="s">
        <v>141</v>
      </c>
      <c r="BI33">
        <v>17.100000000000001</v>
      </c>
      <c r="BW33" t="s">
        <v>267</v>
      </c>
      <c r="BX33" t="s">
        <v>267</v>
      </c>
      <c r="CF33" t="str">
        <f t="shared" si="1"/>
        <v>Enter the sidelighting effective aperture calculated according to 4.2.2.10. of the NECB.</v>
      </c>
      <c r="FS33" s="49"/>
      <c r="FT33" s="49"/>
    </row>
    <row r="34" spans="2:176" x14ac:dyDescent="0.25">
      <c r="B34" s="1">
        <v>0</v>
      </c>
      <c r="C34">
        <v>250</v>
      </c>
      <c r="D34">
        <v>500</v>
      </c>
      <c r="E34">
        <v>750</v>
      </c>
      <c r="F34" s="3">
        <v>1000</v>
      </c>
      <c r="G34" s="3">
        <v>1250</v>
      </c>
      <c r="H34" s="3">
        <v>1465</v>
      </c>
      <c r="I34" s="3">
        <v>1595</v>
      </c>
      <c r="J34" s="3">
        <v>1637</v>
      </c>
      <c r="K34" s="3">
        <v>1637</v>
      </c>
      <c r="L34" s="3">
        <v>1637</v>
      </c>
      <c r="M34" s="3">
        <v>1637</v>
      </c>
      <c r="N34" s="3">
        <v>1637</v>
      </c>
      <c r="O34" s="3">
        <v>1637</v>
      </c>
      <c r="P34" s="3">
        <v>1637</v>
      </c>
      <c r="Q34" s="3">
        <v>1637</v>
      </c>
      <c r="R34" s="3">
        <v>1637</v>
      </c>
      <c r="S34" s="3">
        <v>1670</v>
      </c>
      <c r="T34" s="3">
        <v>1757</v>
      </c>
      <c r="U34" s="3">
        <v>1871</v>
      </c>
      <c r="V34" s="3">
        <v>2021</v>
      </c>
      <c r="W34" s="3">
        <v>2236</v>
      </c>
      <c r="X34" s="3">
        <v>2486</v>
      </c>
      <c r="Y34" s="3">
        <v>2736</v>
      </c>
      <c r="Z34" s="3">
        <v>2986</v>
      </c>
      <c r="BA34" t="str">
        <f t="shared" si="3"/>
        <v>Automotive - Service/Repair</v>
      </c>
      <c r="BB34">
        <v>0</v>
      </c>
      <c r="BC34">
        <v>0</v>
      </c>
      <c r="BH34" t="s">
        <v>160</v>
      </c>
      <c r="BI34">
        <v>7.2</v>
      </c>
      <c r="BW34" t="s">
        <v>596</v>
      </c>
      <c r="BX34" t="s">
        <v>623</v>
      </c>
      <c r="CF34" t="str">
        <f>IF(Select_Lang="English",CG69,CF69)</f>
        <v>Enter the skylight effective aperture calculated according to 4.2.2.7.(1). of the NECB.</v>
      </c>
      <c r="FS34" s="49"/>
      <c r="FT34" s="49"/>
    </row>
    <row r="35" spans="2:176" x14ac:dyDescent="0.25">
      <c r="B35" s="1">
        <v>4.1666666666666664E-2</v>
      </c>
      <c r="D35">
        <v>250</v>
      </c>
      <c r="E35">
        <v>500</v>
      </c>
      <c r="F35">
        <v>750</v>
      </c>
      <c r="G35" s="3">
        <v>1000</v>
      </c>
      <c r="H35" s="3">
        <v>1215</v>
      </c>
      <c r="I35" s="3">
        <v>1345</v>
      </c>
      <c r="J35" s="3">
        <v>1387</v>
      </c>
      <c r="K35" s="3">
        <v>1387</v>
      </c>
      <c r="L35" s="3">
        <v>1387</v>
      </c>
      <c r="M35" s="3">
        <v>1387</v>
      </c>
      <c r="N35" s="3">
        <v>1387</v>
      </c>
      <c r="O35" s="3">
        <v>1387</v>
      </c>
      <c r="P35" s="3">
        <v>1387</v>
      </c>
      <c r="Q35" s="3">
        <v>1387</v>
      </c>
      <c r="R35" s="3">
        <v>1387</v>
      </c>
      <c r="S35" s="3">
        <v>1420</v>
      </c>
      <c r="T35" s="3">
        <v>1507</v>
      </c>
      <c r="U35" s="3">
        <v>1621</v>
      </c>
      <c r="V35" s="3">
        <v>1771</v>
      </c>
      <c r="W35" s="3">
        <v>1986</v>
      </c>
      <c r="X35" s="3">
        <v>2236</v>
      </c>
      <c r="Y35" s="3">
        <v>2486</v>
      </c>
      <c r="Z35" s="3">
        <v>2736</v>
      </c>
      <c r="BA35" t="str">
        <f t="shared" si="3"/>
        <v>Bank/Office - Banking Activity Area</v>
      </c>
      <c r="BB35">
        <v>0</v>
      </c>
      <c r="BC35">
        <v>0</v>
      </c>
      <c r="BH35" t="s">
        <v>161</v>
      </c>
      <c r="BI35">
        <v>14.9</v>
      </c>
      <c r="BW35" t="s">
        <v>643</v>
      </c>
      <c r="BX35" t="s">
        <v>642</v>
      </c>
      <c r="CF35" t="str">
        <f>IF(Select_Lang="English",CF70,CG70)</f>
        <v xml:space="preserve">This field is required to determine whether there are multi-level photocontrols in the reference building. Refer to Article 4.2.2.4. of the NECB. </v>
      </c>
      <c r="FS35" s="50" t="s">
        <v>587</v>
      </c>
      <c r="FT35" s="50" t="s">
        <v>588</v>
      </c>
    </row>
    <row r="36" spans="2:176" x14ac:dyDescent="0.25">
      <c r="B36" s="1">
        <v>8.3333333333333329E-2</v>
      </c>
      <c r="E36">
        <v>250</v>
      </c>
      <c r="F36">
        <v>500</v>
      </c>
      <c r="G36">
        <v>750</v>
      </c>
      <c r="H36">
        <v>965</v>
      </c>
      <c r="I36" s="3">
        <v>1095</v>
      </c>
      <c r="J36" s="3">
        <v>1137</v>
      </c>
      <c r="K36" s="3">
        <v>1137</v>
      </c>
      <c r="L36" s="3">
        <v>1137</v>
      </c>
      <c r="M36" s="3">
        <v>1137</v>
      </c>
      <c r="N36" s="3">
        <v>1137</v>
      </c>
      <c r="O36" s="3">
        <v>1137</v>
      </c>
      <c r="P36" s="3">
        <v>1137</v>
      </c>
      <c r="Q36" s="3">
        <v>1137</v>
      </c>
      <c r="R36" s="3">
        <v>1137</v>
      </c>
      <c r="S36" s="3">
        <v>1170</v>
      </c>
      <c r="T36" s="3">
        <v>1257</v>
      </c>
      <c r="U36" s="3">
        <v>1371</v>
      </c>
      <c r="V36" s="3">
        <v>1521</v>
      </c>
      <c r="W36" s="3">
        <v>1736</v>
      </c>
      <c r="X36" s="3">
        <v>1986</v>
      </c>
      <c r="Y36" s="3">
        <v>2236</v>
      </c>
      <c r="Z36" s="3">
        <v>2486</v>
      </c>
      <c r="BA36" t="str">
        <f t="shared" si="3"/>
        <v>Convention Centre - Audience Seating</v>
      </c>
      <c r="BB36">
        <v>0.2</v>
      </c>
      <c r="BC36">
        <v>0</v>
      </c>
      <c r="BH36" t="s">
        <v>165</v>
      </c>
      <c r="BI36">
        <v>8.8000000000000007</v>
      </c>
      <c r="BW36" t="s">
        <v>598</v>
      </c>
      <c r="BX36" t="s">
        <v>618</v>
      </c>
      <c r="CF36" t="str">
        <f>IF(Select_Lang="English",CF71,CG71)</f>
        <v xml:space="preserve">This field is required to determine whether there are multi-level photocontrols in the reference building. Refer to Article 4.2.2.4. of the NECB. </v>
      </c>
      <c r="FS36" s="50" t="s">
        <v>505</v>
      </c>
      <c r="FT36" s="50" t="s">
        <v>506</v>
      </c>
    </row>
    <row r="37" spans="2:176" x14ac:dyDescent="0.25">
      <c r="B37" s="1">
        <v>0.125</v>
      </c>
      <c r="F37">
        <v>250</v>
      </c>
      <c r="G37">
        <v>500</v>
      </c>
      <c r="H37">
        <v>715</v>
      </c>
      <c r="I37">
        <v>845</v>
      </c>
      <c r="J37">
        <v>887</v>
      </c>
      <c r="K37">
        <v>887</v>
      </c>
      <c r="L37">
        <v>887</v>
      </c>
      <c r="M37">
        <v>887</v>
      </c>
      <c r="N37">
        <v>887</v>
      </c>
      <c r="O37">
        <v>887</v>
      </c>
      <c r="P37">
        <v>887</v>
      </c>
      <c r="Q37">
        <v>887</v>
      </c>
      <c r="R37">
        <v>887</v>
      </c>
      <c r="S37">
        <v>920</v>
      </c>
      <c r="T37" s="3">
        <v>1007</v>
      </c>
      <c r="U37" s="3">
        <v>1121</v>
      </c>
      <c r="V37" s="3">
        <v>1271</v>
      </c>
      <c r="W37" s="3">
        <v>1486</v>
      </c>
      <c r="X37" s="3">
        <v>1736</v>
      </c>
      <c r="Y37" s="3">
        <v>1986</v>
      </c>
      <c r="Z37" s="3">
        <v>2236</v>
      </c>
      <c r="BA37" t="str">
        <f t="shared" ref="BA37:BA68" si="4">IF(Select_Lang="English",BB138,BA138)</f>
        <v>Convention Centre - Exhibit Space</v>
      </c>
      <c r="BB37">
        <v>0</v>
      </c>
      <c r="BC37">
        <v>0</v>
      </c>
      <c r="BH37" t="s">
        <v>166</v>
      </c>
      <c r="BI37">
        <v>15.6</v>
      </c>
      <c r="BW37" t="s">
        <v>661</v>
      </c>
      <c r="BX37" t="s">
        <v>666</v>
      </c>
      <c r="FS37" s="50" t="s">
        <v>635</v>
      </c>
      <c r="FT37" s="50" t="s">
        <v>507</v>
      </c>
    </row>
    <row r="38" spans="2:176" x14ac:dyDescent="0.25">
      <c r="B38" s="1">
        <v>0.16666666666666699</v>
      </c>
      <c r="G38">
        <v>250</v>
      </c>
      <c r="H38">
        <v>465</v>
      </c>
      <c r="I38">
        <v>595</v>
      </c>
      <c r="J38">
        <v>637</v>
      </c>
      <c r="K38">
        <v>637</v>
      </c>
      <c r="L38">
        <v>637</v>
      </c>
      <c r="M38">
        <v>637</v>
      </c>
      <c r="N38">
        <v>637</v>
      </c>
      <c r="O38">
        <v>637</v>
      </c>
      <c r="P38">
        <v>637</v>
      </c>
      <c r="Q38">
        <v>637</v>
      </c>
      <c r="R38">
        <v>637</v>
      </c>
      <c r="S38">
        <v>670</v>
      </c>
      <c r="T38">
        <v>757</v>
      </c>
      <c r="U38">
        <v>871</v>
      </c>
      <c r="V38" s="3">
        <v>1021</v>
      </c>
      <c r="W38" s="3">
        <v>1236</v>
      </c>
      <c r="X38" s="3">
        <v>1486</v>
      </c>
      <c r="Y38" s="3">
        <v>1736</v>
      </c>
      <c r="Z38" s="3">
        <v>1986</v>
      </c>
      <c r="BA38" t="str">
        <f t="shared" si="4"/>
        <v>Courthouse/Police Station/Penitentiary - Courtroom</v>
      </c>
      <c r="BB38">
        <v>0.2</v>
      </c>
      <c r="BC38">
        <v>0</v>
      </c>
      <c r="BH38" t="s">
        <v>167</v>
      </c>
      <c r="BI38">
        <v>18.5</v>
      </c>
      <c r="BW38" t="s">
        <v>652</v>
      </c>
      <c r="BX38" t="s">
        <v>651</v>
      </c>
      <c r="CF38" t="s">
        <v>289</v>
      </c>
      <c r="CG38" t="s">
        <v>262</v>
      </c>
      <c r="FS38" s="50" t="s">
        <v>508</v>
      </c>
      <c r="FT38" s="50" t="s">
        <v>509</v>
      </c>
    </row>
    <row r="39" spans="2:176" x14ac:dyDescent="0.25">
      <c r="B39" s="1">
        <v>0.20833333333333401</v>
      </c>
      <c r="H39">
        <v>215</v>
      </c>
      <c r="I39">
        <v>345</v>
      </c>
      <c r="J39">
        <v>387</v>
      </c>
      <c r="K39">
        <v>387</v>
      </c>
      <c r="L39">
        <v>387</v>
      </c>
      <c r="M39">
        <v>387</v>
      </c>
      <c r="N39">
        <v>387</v>
      </c>
      <c r="O39">
        <v>387</v>
      </c>
      <c r="P39">
        <v>387</v>
      </c>
      <c r="Q39">
        <v>387</v>
      </c>
      <c r="R39">
        <v>387</v>
      </c>
      <c r="S39">
        <v>420</v>
      </c>
      <c r="T39">
        <v>507</v>
      </c>
      <c r="U39">
        <v>621</v>
      </c>
      <c r="V39">
        <v>771</v>
      </c>
      <c r="W39">
        <v>986</v>
      </c>
      <c r="X39" s="3">
        <v>1236</v>
      </c>
      <c r="Y39" s="3">
        <v>1486</v>
      </c>
      <c r="Z39" s="3">
        <v>1736</v>
      </c>
      <c r="BA39" t="str">
        <f t="shared" si="4"/>
        <v>Courthouse/Police Station/Penitentiary - Confinement Cell</v>
      </c>
      <c r="BB39">
        <v>0</v>
      </c>
      <c r="BC39">
        <v>0</v>
      </c>
      <c r="BH39" t="s">
        <v>168</v>
      </c>
      <c r="BI39">
        <v>14.8</v>
      </c>
      <c r="BW39" t="s">
        <v>664</v>
      </c>
      <c r="BX39" t="s">
        <v>665</v>
      </c>
      <c r="CE39" t="s">
        <v>269</v>
      </c>
      <c r="CF39" t="s">
        <v>554</v>
      </c>
      <c r="CG39" t="s">
        <v>602</v>
      </c>
      <c r="FS39" s="50" t="s">
        <v>510</v>
      </c>
      <c r="FT39" s="50" t="s">
        <v>511</v>
      </c>
    </row>
    <row r="40" spans="2:176" x14ac:dyDescent="0.25">
      <c r="B40" s="1">
        <v>0.25</v>
      </c>
      <c r="I40">
        <v>131</v>
      </c>
      <c r="J40">
        <v>173</v>
      </c>
      <c r="K40">
        <v>173</v>
      </c>
      <c r="L40">
        <v>173</v>
      </c>
      <c r="M40">
        <v>173</v>
      </c>
      <c r="N40">
        <v>173</v>
      </c>
      <c r="O40">
        <v>173</v>
      </c>
      <c r="P40">
        <v>173</v>
      </c>
      <c r="Q40">
        <v>173</v>
      </c>
      <c r="R40">
        <v>173</v>
      </c>
      <c r="S40">
        <v>205</v>
      </c>
      <c r="T40">
        <v>292</v>
      </c>
      <c r="U40">
        <v>407</v>
      </c>
      <c r="V40">
        <v>556</v>
      </c>
      <c r="W40">
        <v>771</v>
      </c>
      <c r="X40" s="3">
        <v>1021</v>
      </c>
      <c r="Y40" s="3">
        <v>1271</v>
      </c>
      <c r="Z40" s="3">
        <v>1521</v>
      </c>
      <c r="BA40" t="str">
        <f t="shared" si="4"/>
        <v>Courthouse/Police Station/Penitentiary - Judges' Chambers</v>
      </c>
      <c r="BB40">
        <v>0.3</v>
      </c>
      <c r="BC40">
        <v>0.1</v>
      </c>
      <c r="BH40" t="s">
        <v>169</v>
      </c>
      <c r="BI40">
        <v>12.6</v>
      </c>
      <c r="CE40" t="s">
        <v>123</v>
      </c>
      <c r="CF40" t="s">
        <v>603</v>
      </c>
      <c r="CG40" t="s">
        <v>557</v>
      </c>
      <c r="FS40" s="50" t="s">
        <v>512</v>
      </c>
      <c r="FT40" s="50" t="s">
        <v>513</v>
      </c>
    </row>
    <row r="41" spans="2:176" x14ac:dyDescent="0.25">
      <c r="B41" s="1">
        <v>0.29166666666666702</v>
      </c>
      <c r="J41">
        <v>42</v>
      </c>
      <c r="K41">
        <v>42</v>
      </c>
      <c r="L41">
        <v>42</v>
      </c>
      <c r="M41">
        <v>42</v>
      </c>
      <c r="N41">
        <v>42</v>
      </c>
      <c r="O41">
        <v>42</v>
      </c>
      <c r="P41">
        <v>42</v>
      </c>
      <c r="Q41">
        <v>42</v>
      </c>
      <c r="R41">
        <v>42</v>
      </c>
      <c r="S41">
        <v>75</v>
      </c>
      <c r="T41">
        <v>162</v>
      </c>
      <c r="U41">
        <v>276</v>
      </c>
      <c r="V41">
        <v>425</v>
      </c>
      <c r="W41">
        <v>640</v>
      </c>
      <c r="X41">
        <v>890</v>
      </c>
      <c r="Y41" s="3">
        <v>1140</v>
      </c>
      <c r="Z41" s="3">
        <v>1390</v>
      </c>
      <c r="BA41" t="str">
        <f t="shared" si="4"/>
        <v>Courthouse/Police Station/Penitentiary - Penitentiary Audience Seating</v>
      </c>
      <c r="BB41">
        <v>0</v>
      </c>
      <c r="BC41">
        <v>0</v>
      </c>
      <c r="BH41" t="s">
        <v>170</v>
      </c>
      <c r="BI41">
        <v>4.5999999999999996</v>
      </c>
      <c r="BW41" t="s">
        <v>306</v>
      </c>
      <c r="CE41" t="s">
        <v>255</v>
      </c>
      <c r="CF41" s="40" t="s">
        <v>445</v>
      </c>
      <c r="CG41" s="40" t="s">
        <v>670</v>
      </c>
      <c r="FS41" s="50" t="s">
        <v>514</v>
      </c>
      <c r="FT41" s="50" t="s">
        <v>515</v>
      </c>
    </row>
    <row r="42" spans="2:176" x14ac:dyDescent="0.25">
      <c r="B42" s="1">
        <v>0.33333333333333398</v>
      </c>
      <c r="K42">
        <v>0</v>
      </c>
      <c r="L42">
        <v>0</v>
      </c>
      <c r="M42">
        <v>0</v>
      </c>
      <c r="N42">
        <v>0</v>
      </c>
      <c r="O42">
        <v>0</v>
      </c>
      <c r="P42">
        <v>0</v>
      </c>
      <c r="Q42">
        <v>0</v>
      </c>
      <c r="R42">
        <v>0</v>
      </c>
      <c r="S42">
        <v>33</v>
      </c>
      <c r="T42">
        <v>120</v>
      </c>
      <c r="U42">
        <v>234</v>
      </c>
      <c r="V42">
        <v>383</v>
      </c>
      <c r="W42">
        <v>598</v>
      </c>
      <c r="X42">
        <v>848</v>
      </c>
      <c r="Y42" s="3">
        <v>1098</v>
      </c>
      <c r="Z42" s="3">
        <v>1348</v>
      </c>
      <c r="BA42" t="str">
        <f t="shared" si="4"/>
        <v>Courthouse/Police Station/Penitentiary - Penitentiary Classroom</v>
      </c>
      <c r="BB42">
        <v>0.5</v>
      </c>
      <c r="BC42">
        <v>0</v>
      </c>
      <c r="BH42" t="s">
        <v>171</v>
      </c>
      <c r="BI42">
        <v>14.4</v>
      </c>
      <c r="BW42" t="str">
        <f t="shared" ref="BW42:BW75" si="5">IF(Select_Lang="English",BX6,BW6)</f>
        <v>Space Name</v>
      </c>
      <c r="CE42" t="s">
        <v>257</v>
      </c>
      <c r="CF42" t="s">
        <v>604</v>
      </c>
      <c r="CG42" t="s">
        <v>605</v>
      </c>
      <c r="FS42" s="50" t="s">
        <v>516</v>
      </c>
      <c r="FT42" s="50" t="s">
        <v>517</v>
      </c>
    </row>
    <row r="43" spans="2:176" x14ac:dyDescent="0.25">
      <c r="B43" s="1">
        <v>0.375</v>
      </c>
      <c r="L43">
        <v>0</v>
      </c>
      <c r="M43">
        <v>0</v>
      </c>
      <c r="N43">
        <v>0</v>
      </c>
      <c r="O43">
        <v>0</v>
      </c>
      <c r="P43">
        <v>0</v>
      </c>
      <c r="Q43">
        <v>0</v>
      </c>
      <c r="R43">
        <v>0</v>
      </c>
      <c r="S43">
        <v>33</v>
      </c>
      <c r="T43">
        <v>120</v>
      </c>
      <c r="U43">
        <v>234</v>
      </c>
      <c r="V43">
        <v>383</v>
      </c>
      <c r="W43">
        <v>598</v>
      </c>
      <c r="X43">
        <v>848</v>
      </c>
      <c r="Y43" s="3">
        <v>1098</v>
      </c>
      <c r="Z43" s="3">
        <v>1348</v>
      </c>
      <c r="BA43" t="str">
        <f t="shared" si="4"/>
        <v>Courthouse/Police Station/Penitentiary - Penitentiary Dining</v>
      </c>
      <c r="BB43">
        <v>0</v>
      </c>
      <c r="BC43">
        <v>0</v>
      </c>
      <c r="BH43" t="s">
        <v>172</v>
      </c>
      <c r="BI43">
        <v>11.5</v>
      </c>
      <c r="BW43" t="str">
        <f t="shared" si="5"/>
        <v>Space Function</v>
      </c>
      <c r="CE43" t="s">
        <v>435</v>
      </c>
      <c r="CF43" t="s">
        <v>555</v>
      </c>
      <c r="CG43" t="s">
        <v>629</v>
      </c>
      <c r="FS43" s="50" t="s">
        <v>518</v>
      </c>
      <c r="FT43" s="50" t="s">
        <v>519</v>
      </c>
    </row>
    <row r="44" spans="2:176" x14ac:dyDescent="0.25">
      <c r="B44" s="1">
        <v>0.41666666666666702</v>
      </c>
      <c r="M44">
        <v>0</v>
      </c>
      <c r="N44">
        <v>0</v>
      </c>
      <c r="O44">
        <v>0</v>
      </c>
      <c r="P44">
        <v>0</v>
      </c>
      <c r="Q44">
        <v>0</v>
      </c>
      <c r="R44">
        <v>0</v>
      </c>
      <c r="S44">
        <v>33</v>
      </c>
      <c r="T44">
        <v>120</v>
      </c>
      <c r="U44">
        <v>234</v>
      </c>
      <c r="V44">
        <v>383</v>
      </c>
      <c r="W44">
        <v>598</v>
      </c>
      <c r="X44">
        <v>848</v>
      </c>
      <c r="Y44" s="3">
        <v>1098</v>
      </c>
      <c r="Z44" s="3">
        <v>1348</v>
      </c>
      <c r="BA44" t="str">
        <f t="shared" si="4"/>
        <v>Dormitory - Living Quarters</v>
      </c>
      <c r="BB44">
        <v>0</v>
      </c>
      <c r="BC44">
        <v>0</v>
      </c>
      <c r="BH44" t="s">
        <v>162</v>
      </c>
      <c r="BI44">
        <v>4.0999999999999996</v>
      </c>
      <c r="BW44" t="str">
        <f t="shared" si="5"/>
        <v>Enclosed Space</v>
      </c>
      <c r="CE44" t="s">
        <v>315</v>
      </c>
      <c r="CF44" t="s">
        <v>619</v>
      </c>
      <c r="CG44" t="s">
        <v>562</v>
      </c>
      <c r="FS44" s="50" t="s">
        <v>520</v>
      </c>
      <c r="FT44" s="50" t="s">
        <v>521</v>
      </c>
    </row>
    <row r="45" spans="2:176" x14ac:dyDescent="0.25">
      <c r="B45" s="1">
        <v>0.45833333333333398</v>
      </c>
      <c r="N45">
        <v>0</v>
      </c>
      <c r="O45">
        <v>0</v>
      </c>
      <c r="P45">
        <v>0</v>
      </c>
      <c r="Q45">
        <v>0</v>
      </c>
      <c r="R45">
        <v>0</v>
      </c>
      <c r="S45">
        <v>33</v>
      </c>
      <c r="T45">
        <v>120</v>
      </c>
      <c r="U45">
        <v>234</v>
      </c>
      <c r="V45">
        <v>383</v>
      </c>
      <c r="W45">
        <v>598</v>
      </c>
      <c r="X45">
        <v>848</v>
      </c>
      <c r="Y45" s="3">
        <v>1098</v>
      </c>
      <c r="Z45" s="3">
        <v>1348</v>
      </c>
      <c r="BA45" t="str">
        <f t="shared" si="4"/>
        <v>Fire Stations - Engine Room</v>
      </c>
      <c r="BB45">
        <v>0.5</v>
      </c>
      <c r="BC45">
        <v>0</v>
      </c>
      <c r="BH45" t="s">
        <v>173</v>
      </c>
      <c r="BI45">
        <v>6</v>
      </c>
      <c r="BW45" t="str">
        <f t="shared" si="5"/>
        <v>Enclosed Space Function</v>
      </c>
      <c r="CE45" t="s">
        <v>436</v>
      </c>
      <c r="CF45" t="s">
        <v>556</v>
      </c>
      <c r="CG45" t="s">
        <v>443</v>
      </c>
      <c r="FS45" s="50" t="s">
        <v>522</v>
      </c>
      <c r="FT45" s="50" t="s">
        <v>523</v>
      </c>
    </row>
    <row r="46" spans="2:176" x14ac:dyDescent="0.25">
      <c r="B46" s="1">
        <v>0.5</v>
      </c>
      <c r="O46">
        <v>0</v>
      </c>
      <c r="P46">
        <v>0</v>
      </c>
      <c r="Q46">
        <v>0</v>
      </c>
      <c r="R46">
        <v>0</v>
      </c>
      <c r="S46">
        <v>33</v>
      </c>
      <c r="T46">
        <v>120</v>
      </c>
      <c r="U46">
        <v>234</v>
      </c>
      <c r="V46">
        <v>383</v>
      </c>
      <c r="W46">
        <v>598</v>
      </c>
      <c r="X46">
        <v>848</v>
      </c>
      <c r="Y46" s="3">
        <v>1098</v>
      </c>
      <c r="Z46" s="3">
        <v>1348</v>
      </c>
      <c r="BA46" t="str">
        <f t="shared" si="4"/>
        <v>Fire Stations - Sleeping Quarters</v>
      </c>
      <c r="BB46">
        <v>0</v>
      </c>
      <c r="BC46">
        <v>0</v>
      </c>
      <c r="BH46" t="s">
        <v>174</v>
      </c>
      <c r="BI46">
        <v>3.4</v>
      </c>
      <c r="BW46" t="str">
        <f t="shared" si="5"/>
        <v>Atrium Height - m</v>
      </c>
      <c r="CE46" t="s">
        <v>437</v>
      </c>
      <c r="CF46" t="s">
        <v>446</v>
      </c>
      <c r="CG46" t="s">
        <v>671</v>
      </c>
      <c r="FS46" s="50" t="s">
        <v>553</v>
      </c>
      <c r="FT46" s="50" t="s">
        <v>552</v>
      </c>
    </row>
    <row r="47" spans="2:176" ht="15.75" x14ac:dyDescent="0.3">
      <c r="B47" s="1">
        <v>0.54166666666666696</v>
      </c>
      <c r="P47">
        <v>0</v>
      </c>
      <c r="Q47">
        <v>0</v>
      </c>
      <c r="R47">
        <v>0</v>
      </c>
      <c r="S47">
        <v>33</v>
      </c>
      <c r="T47">
        <v>120</v>
      </c>
      <c r="U47">
        <v>234</v>
      </c>
      <c r="V47">
        <v>383</v>
      </c>
      <c r="W47">
        <v>598</v>
      </c>
      <c r="X47">
        <v>848</v>
      </c>
      <c r="Y47" s="3">
        <v>1098</v>
      </c>
      <c r="Z47" s="3">
        <v>1348</v>
      </c>
      <c r="BA47" t="str">
        <f t="shared" si="4"/>
        <v>Gymnasium/Fitness Centre - Fitness Area</v>
      </c>
      <c r="BB47">
        <v>0</v>
      </c>
      <c r="BC47">
        <v>0</v>
      </c>
      <c r="BH47" t="s">
        <v>175</v>
      </c>
      <c r="BI47">
        <v>9.8000000000000007</v>
      </c>
      <c r="BW47" t="str">
        <f t="shared" si="5"/>
        <v>Occupancy-Sensing Mechanism Type</v>
      </c>
      <c r="CE47" t="s">
        <v>272</v>
      </c>
      <c r="CF47" t="s">
        <v>444</v>
      </c>
      <c r="CG47" t="s">
        <v>561</v>
      </c>
      <c r="FS47" s="50" t="s">
        <v>524</v>
      </c>
      <c r="FT47" s="50" t="s">
        <v>525</v>
      </c>
    </row>
    <row r="48" spans="2:176" x14ac:dyDescent="0.25">
      <c r="B48" s="1">
        <v>0.58333333333333404</v>
      </c>
      <c r="Q48">
        <v>0</v>
      </c>
      <c r="R48">
        <v>0</v>
      </c>
      <c r="S48">
        <v>33</v>
      </c>
      <c r="T48">
        <v>120</v>
      </c>
      <c r="U48">
        <v>234</v>
      </c>
      <c r="V48">
        <v>383</v>
      </c>
      <c r="W48">
        <v>598</v>
      </c>
      <c r="X48">
        <v>848</v>
      </c>
      <c r="Y48" s="3">
        <v>1098</v>
      </c>
      <c r="Z48" s="3">
        <v>1348</v>
      </c>
      <c r="BA48" t="str">
        <f t="shared" si="4"/>
        <v>Gymnasium/Fitness Centre - Audience Seating</v>
      </c>
      <c r="BB48">
        <v>0</v>
      </c>
      <c r="BC48">
        <v>0</v>
      </c>
      <c r="BH48" t="s">
        <v>177</v>
      </c>
      <c r="BI48">
        <v>4.5999999999999996</v>
      </c>
      <c r="BW48" t="str">
        <f t="shared" si="5"/>
        <v>Gross Interior Floor Area - m2</v>
      </c>
      <c r="CE48" t="s">
        <v>61</v>
      </c>
      <c r="CF48" t="s">
        <v>558</v>
      </c>
      <c r="CG48" t="s">
        <v>624</v>
      </c>
      <c r="FS48" s="50" t="s">
        <v>526</v>
      </c>
      <c r="FT48" s="50" t="s">
        <v>527</v>
      </c>
    </row>
    <row r="49" spans="2:176" x14ac:dyDescent="0.25">
      <c r="B49" s="1">
        <v>0.625</v>
      </c>
      <c r="R49">
        <v>0</v>
      </c>
      <c r="S49">
        <v>33</v>
      </c>
      <c r="T49">
        <v>120</v>
      </c>
      <c r="U49">
        <v>234</v>
      </c>
      <c r="V49">
        <v>383</v>
      </c>
      <c r="W49">
        <v>598</v>
      </c>
      <c r="X49">
        <v>848</v>
      </c>
      <c r="Y49" s="3">
        <v>1098</v>
      </c>
      <c r="Z49" s="3">
        <v>1348</v>
      </c>
      <c r="BA49" t="str">
        <f t="shared" si="4"/>
        <v>Gymnasium/Fitness Centre - Playing Area</v>
      </c>
      <c r="BB49">
        <v>0</v>
      </c>
      <c r="BC49">
        <v>0</v>
      </c>
      <c r="BH49" t="s">
        <v>176</v>
      </c>
      <c r="BI49">
        <v>12.9</v>
      </c>
      <c r="BW49" t="str">
        <f t="shared" si="5"/>
        <v>Daylighted Area - m2</v>
      </c>
      <c r="CE49" t="s">
        <v>62</v>
      </c>
      <c r="CF49" t="s">
        <v>560</v>
      </c>
      <c r="CG49" t="s">
        <v>559</v>
      </c>
      <c r="FS49" s="50" t="s">
        <v>528</v>
      </c>
      <c r="FT49" s="50" t="s">
        <v>529</v>
      </c>
    </row>
    <row r="50" spans="2:176" ht="17.25" customHeight="1" x14ac:dyDescent="0.25">
      <c r="B50" s="1">
        <v>0.66666666666666696</v>
      </c>
      <c r="S50">
        <v>33</v>
      </c>
      <c r="T50">
        <v>120</v>
      </c>
      <c r="U50">
        <v>234</v>
      </c>
      <c r="V50">
        <v>383</v>
      </c>
      <c r="W50">
        <v>598</v>
      </c>
      <c r="X50">
        <v>848</v>
      </c>
      <c r="Y50" s="3">
        <v>1098</v>
      </c>
      <c r="Z50" s="3">
        <v>1348</v>
      </c>
      <c r="BA50" t="str">
        <f t="shared" si="4"/>
        <v>Hospital - Corridor/Transition ≥ 2.4 m wide</v>
      </c>
      <c r="BB50">
        <v>0</v>
      </c>
      <c r="BC50">
        <v>0</v>
      </c>
      <c r="BH50" t="s">
        <v>178</v>
      </c>
      <c r="BI50">
        <v>9.6</v>
      </c>
      <c r="BW50" t="str">
        <f t="shared" si="5"/>
        <v>Lighting Power, W</v>
      </c>
      <c r="CE50" t="s">
        <v>78</v>
      </c>
      <c r="CF50" s="71" t="s">
        <v>620</v>
      </c>
      <c r="CG50" t="s">
        <v>662</v>
      </c>
      <c r="FS50" s="50" t="s">
        <v>530</v>
      </c>
      <c r="FT50" s="50" t="s">
        <v>531</v>
      </c>
    </row>
    <row r="51" spans="2:176" x14ac:dyDescent="0.25">
      <c r="B51" s="1">
        <v>0.70833333333333404</v>
      </c>
      <c r="T51">
        <v>87</v>
      </c>
      <c r="U51">
        <v>201</v>
      </c>
      <c r="V51">
        <v>350</v>
      </c>
      <c r="W51">
        <v>566</v>
      </c>
      <c r="X51">
        <v>816</v>
      </c>
      <c r="Y51" s="3">
        <v>1066</v>
      </c>
      <c r="Z51" s="3">
        <v>1316</v>
      </c>
      <c r="BA51" t="str">
        <f t="shared" si="4"/>
        <v>Hospital - Corridor/Transition &lt; 2.4 m wide</v>
      </c>
      <c r="BB51">
        <v>0</v>
      </c>
      <c r="BC51">
        <v>0</v>
      </c>
      <c r="BH51" t="s">
        <v>179</v>
      </c>
      <c r="BI51">
        <v>11.7</v>
      </c>
      <c r="BW51" t="str">
        <f t="shared" si="5"/>
        <v>Space Operation Start Time</v>
      </c>
      <c r="CE51" t="s">
        <v>273</v>
      </c>
      <c r="CF51" t="s">
        <v>626</v>
      </c>
      <c r="CG51" t="s">
        <v>625</v>
      </c>
      <c r="FS51" s="50" t="s">
        <v>550</v>
      </c>
      <c r="FT51" s="50" t="s">
        <v>551</v>
      </c>
    </row>
    <row r="52" spans="2:176" x14ac:dyDescent="0.25">
      <c r="B52" s="1">
        <v>0.75</v>
      </c>
      <c r="U52">
        <v>114</v>
      </c>
      <c r="V52">
        <v>263</v>
      </c>
      <c r="W52">
        <v>479</v>
      </c>
      <c r="X52">
        <v>729</v>
      </c>
      <c r="Y52">
        <v>979</v>
      </c>
      <c r="Z52" s="3">
        <v>1229</v>
      </c>
      <c r="BA52" t="str">
        <f t="shared" si="4"/>
        <v>Hospital - Emergency</v>
      </c>
      <c r="BB52">
        <v>0</v>
      </c>
      <c r="BC52">
        <v>0</v>
      </c>
      <c r="BH52" t="s">
        <v>180</v>
      </c>
      <c r="BI52">
        <v>24.3</v>
      </c>
      <c r="BW52" t="str">
        <f t="shared" si="5"/>
        <v>Space Operation End time</v>
      </c>
      <c r="CE52" t="s">
        <v>429</v>
      </c>
      <c r="CF52" t="s">
        <v>621</v>
      </c>
      <c r="CG52" t="s">
        <v>563</v>
      </c>
      <c r="FS52" s="50" t="s">
        <v>532</v>
      </c>
      <c r="FT52" s="50" t="s">
        <v>533</v>
      </c>
    </row>
    <row r="53" spans="2:176" x14ac:dyDescent="0.25">
      <c r="B53" s="1">
        <v>0.79166666666666696</v>
      </c>
      <c r="V53">
        <v>149</v>
      </c>
      <c r="W53">
        <v>364</v>
      </c>
      <c r="X53">
        <v>614</v>
      </c>
      <c r="Y53">
        <v>864</v>
      </c>
      <c r="Z53" s="3">
        <v>1114</v>
      </c>
      <c r="BA53" t="str">
        <f t="shared" si="4"/>
        <v>Hospital - Exam/Treatment</v>
      </c>
      <c r="BB53">
        <v>0.3</v>
      </c>
      <c r="BC53">
        <v>0</v>
      </c>
      <c r="BH53" t="s">
        <v>181</v>
      </c>
      <c r="BI53">
        <v>17.899999999999999</v>
      </c>
      <c r="BW53" t="str">
        <f t="shared" si="5"/>
        <v>Primary Type of Daylight Supply</v>
      </c>
      <c r="CE53" t="s">
        <v>84</v>
      </c>
      <c r="CF53" t="s">
        <v>565</v>
      </c>
      <c r="CG53" t="s">
        <v>570</v>
      </c>
      <c r="FS53" s="51" t="s">
        <v>534</v>
      </c>
      <c r="FT53" s="52" t="s">
        <v>535</v>
      </c>
    </row>
    <row r="54" spans="2:176" x14ac:dyDescent="0.25">
      <c r="B54" s="1">
        <v>0.83333333333333404</v>
      </c>
      <c r="W54">
        <v>215</v>
      </c>
      <c r="X54">
        <v>465</v>
      </c>
      <c r="Y54">
        <v>715</v>
      </c>
      <c r="Z54">
        <v>965</v>
      </c>
      <c r="BA54" t="str">
        <f t="shared" si="4"/>
        <v>Hospital - Laundry - Washing</v>
      </c>
      <c r="BB54">
        <v>0</v>
      </c>
      <c r="BC54">
        <v>0</v>
      </c>
      <c r="BH54" t="s">
        <v>182</v>
      </c>
      <c r="BI54">
        <v>8</v>
      </c>
      <c r="BW54" t="str">
        <f t="shared" si="5"/>
        <v>Daylight System Control</v>
      </c>
      <c r="CE54" t="s">
        <v>438</v>
      </c>
      <c r="CF54" t="s">
        <v>673</v>
      </c>
      <c r="CG54" t="s">
        <v>674</v>
      </c>
      <c r="FS54" s="59" t="s">
        <v>585</v>
      </c>
      <c r="FT54" s="52" t="s">
        <v>586</v>
      </c>
    </row>
    <row r="55" spans="2:176" x14ac:dyDescent="0.25">
      <c r="B55" s="1">
        <v>0.875</v>
      </c>
      <c r="X55">
        <v>250</v>
      </c>
      <c r="Y55">
        <v>500</v>
      </c>
      <c r="Z55">
        <v>750</v>
      </c>
      <c r="BA55" t="str">
        <f t="shared" si="4"/>
        <v>Hospital - Lounge/Recreation</v>
      </c>
      <c r="BB55">
        <v>0</v>
      </c>
      <c r="BC55">
        <v>0</v>
      </c>
      <c r="BH55" t="s">
        <v>183</v>
      </c>
      <c r="BI55">
        <v>11.5</v>
      </c>
      <c r="BW55" t="str">
        <f t="shared" si="5"/>
        <v>Control Factor for Daylighting</v>
      </c>
      <c r="CE55" t="s">
        <v>241</v>
      </c>
      <c r="CF55" t="s">
        <v>660</v>
      </c>
      <c r="CG55" t="s">
        <v>658</v>
      </c>
      <c r="FS55" s="51" t="s">
        <v>536</v>
      </c>
      <c r="FT55" s="53" t="s">
        <v>537</v>
      </c>
    </row>
    <row r="56" spans="2:176" x14ac:dyDescent="0.25">
      <c r="B56" s="1">
        <v>0.91666666666666696</v>
      </c>
      <c r="Y56">
        <v>250</v>
      </c>
      <c r="Z56">
        <v>500</v>
      </c>
      <c r="BA56" t="str">
        <f t="shared" si="4"/>
        <v>Hospital - Medical Supply</v>
      </c>
      <c r="BB56">
        <v>0.5</v>
      </c>
      <c r="BC56">
        <v>0</v>
      </c>
      <c r="BH56" t="s">
        <v>184</v>
      </c>
      <c r="BI56">
        <v>13.7</v>
      </c>
      <c r="BW56" t="str">
        <f t="shared" si="5"/>
        <v>Orientation of Fenestration Providing Sidelighting</v>
      </c>
      <c r="CE56" t="s">
        <v>274</v>
      </c>
      <c r="CF56" t="s">
        <v>564</v>
      </c>
      <c r="CG56" t="s">
        <v>627</v>
      </c>
      <c r="FS56" s="50" t="s">
        <v>538</v>
      </c>
      <c r="FT56" s="50" t="s">
        <v>539</v>
      </c>
    </row>
    <row r="57" spans="2:176" x14ac:dyDescent="0.25">
      <c r="B57" s="1">
        <v>0.95833333333333404</v>
      </c>
      <c r="Z57">
        <v>250</v>
      </c>
      <c r="BA57" t="str">
        <f t="shared" si="4"/>
        <v>Hospital - Nursery</v>
      </c>
      <c r="BB57">
        <v>0</v>
      </c>
      <c r="BC57">
        <v>0</v>
      </c>
      <c r="BH57" t="s">
        <v>185</v>
      </c>
      <c r="BI57">
        <v>9.5</v>
      </c>
      <c r="BW57" t="str">
        <f t="shared" si="5"/>
        <v>Design Illuminance - lx</v>
      </c>
      <c r="CE57" t="s">
        <v>275</v>
      </c>
      <c r="CF57" t="s">
        <v>566</v>
      </c>
      <c r="CG57" t="s">
        <v>628</v>
      </c>
      <c r="FS57" s="50" t="s">
        <v>540</v>
      </c>
      <c r="FT57" s="50" t="s">
        <v>541</v>
      </c>
    </row>
    <row r="58" spans="2:176" x14ac:dyDescent="0.25">
      <c r="BA58" t="str">
        <f t="shared" si="4"/>
        <v>Hospital - Nurses' Station</v>
      </c>
      <c r="BB58">
        <v>0</v>
      </c>
      <c r="BC58">
        <v>0</v>
      </c>
      <c r="BH58" t="s">
        <v>186</v>
      </c>
      <c r="BI58">
        <v>9.4</v>
      </c>
      <c r="BW58" t="str">
        <f t="shared" si="5"/>
        <v>Automatic Daylight Controls in the Reference Space.</v>
      </c>
      <c r="CE58" t="s">
        <v>276</v>
      </c>
      <c r="CF58" t="s">
        <v>632</v>
      </c>
      <c r="CG58" t="s">
        <v>630</v>
      </c>
      <c r="FS58" s="54" t="s">
        <v>542</v>
      </c>
      <c r="FT58" s="50" t="s">
        <v>543</v>
      </c>
    </row>
    <row r="59" spans="2:176" x14ac:dyDescent="0.25">
      <c r="BA59" t="str">
        <f t="shared" si="4"/>
        <v>Hospital - Operating Room</v>
      </c>
      <c r="BB59">
        <v>0.1</v>
      </c>
      <c r="BC59">
        <v>0</v>
      </c>
      <c r="BH59" t="s">
        <v>187</v>
      </c>
      <c r="BI59">
        <v>20.3</v>
      </c>
      <c r="BW59" t="str">
        <f t="shared" si="5"/>
        <v>Luminous Transmittance of the Glazing</v>
      </c>
      <c r="CE59" t="s">
        <v>277</v>
      </c>
      <c r="CF59" t="s">
        <v>567</v>
      </c>
      <c r="CG59" t="s">
        <v>571</v>
      </c>
      <c r="FS59" s="54" t="s">
        <v>544</v>
      </c>
      <c r="FT59" s="50" t="s">
        <v>545</v>
      </c>
    </row>
    <row r="60" spans="2:176" x14ac:dyDescent="0.25">
      <c r="BA60" t="str">
        <f t="shared" si="4"/>
        <v>Hospital - Patient Room</v>
      </c>
      <c r="BB60">
        <v>0.1</v>
      </c>
      <c r="BC60">
        <v>0.1</v>
      </c>
      <c r="BH60" t="s">
        <v>188</v>
      </c>
      <c r="BI60">
        <v>6.7</v>
      </c>
      <c r="BW60" t="str">
        <f t="shared" si="5"/>
        <v>Framing Factor</v>
      </c>
      <c r="CE60" t="s">
        <v>278</v>
      </c>
      <c r="CF60" t="s">
        <v>573</v>
      </c>
      <c r="CG60" t="s">
        <v>631</v>
      </c>
      <c r="FS60" s="54" t="s">
        <v>546</v>
      </c>
      <c r="FT60" s="50" t="s">
        <v>547</v>
      </c>
    </row>
    <row r="61" spans="2:176" x14ac:dyDescent="0.25">
      <c r="BA61" t="str">
        <f t="shared" si="4"/>
        <v>Hospital - Pharmacy</v>
      </c>
      <c r="BB61">
        <v>0</v>
      </c>
      <c r="BC61">
        <v>0</v>
      </c>
      <c r="BH61" t="s">
        <v>189</v>
      </c>
      <c r="BI61">
        <v>12.3</v>
      </c>
      <c r="BW61" t="str">
        <f t="shared" si="5"/>
        <v>Dirt Accumulation Factor</v>
      </c>
      <c r="CE61" t="s">
        <v>439</v>
      </c>
      <c r="CF61" t="s">
        <v>574</v>
      </c>
      <c r="CG61" t="s">
        <v>575</v>
      </c>
      <c r="FS61" s="54" t="s">
        <v>548</v>
      </c>
      <c r="FT61" s="50" t="s">
        <v>549</v>
      </c>
    </row>
    <row r="62" spans="2:176" x14ac:dyDescent="0.25">
      <c r="BA62" t="str">
        <f t="shared" si="4"/>
        <v>Hospital - Physical Therapy</v>
      </c>
      <c r="BB62">
        <v>0.2</v>
      </c>
      <c r="BC62">
        <v>0</v>
      </c>
      <c r="BH62" t="s">
        <v>190</v>
      </c>
      <c r="BI62">
        <v>9.8000000000000007</v>
      </c>
      <c r="BW62" t="str">
        <f t="shared" si="5"/>
        <v>Non-Perpendicular Light Incidence Factor</v>
      </c>
      <c r="CE62" t="s">
        <v>440</v>
      </c>
      <c r="CF62" t="s">
        <v>576</v>
      </c>
      <c r="CG62" t="s">
        <v>580</v>
      </c>
      <c r="FS62" s="58" t="s">
        <v>584</v>
      </c>
      <c r="FT62" s="50" t="s">
        <v>583</v>
      </c>
    </row>
    <row r="63" spans="2:176" x14ac:dyDescent="0.25">
      <c r="C63" t="s">
        <v>279</v>
      </c>
      <c r="D63" t="s">
        <v>669</v>
      </c>
      <c r="BA63" t="str">
        <f t="shared" si="4"/>
        <v>Hospital - Radiology/Imaging</v>
      </c>
      <c r="BB63">
        <v>0</v>
      </c>
      <c r="BC63">
        <v>0</v>
      </c>
      <c r="BH63" t="s">
        <v>191</v>
      </c>
      <c r="BI63">
        <v>14.2</v>
      </c>
      <c r="BW63" t="str">
        <f t="shared" si="5"/>
        <v>Angle to Top Horizontal Obstruction</v>
      </c>
      <c r="CE63" t="s">
        <v>441</v>
      </c>
      <c r="CF63" t="s">
        <v>577</v>
      </c>
      <c r="CG63" t="s">
        <v>579</v>
      </c>
    </row>
    <row r="64" spans="2:176" x14ac:dyDescent="0.25">
      <c r="C64" t="s">
        <v>667</v>
      </c>
      <c r="BA64" t="str">
        <f t="shared" si="4"/>
        <v>Hospital - Recovery</v>
      </c>
      <c r="BB64">
        <v>0</v>
      </c>
      <c r="BC64">
        <v>0</v>
      </c>
      <c r="BH64" t="s">
        <v>192</v>
      </c>
      <c r="BI64">
        <v>12.4</v>
      </c>
      <c r="BW64" t="str">
        <f t="shared" si="5"/>
        <v>Total Area of Rough Opening for Toplighting - m2</v>
      </c>
      <c r="CE64" t="s">
        <v>442</v>
      </c>
      <c r="CF64" t="s">
        <v>578</v>
      </c>
      <c r="CG64" t="s">
        <v>581</v>
      </c>
    </row>
    <row r="65" spans="3:176" x14ac:dyDescent="0.25">
      <c r="C65" s="92" t="s">
        <v>668</v>
      </c>
      <c r="BA65" t="str">
        <f t="shared" si="4"/>
        <v>Hotel/Motel - Hotel Dining</v>
      </c>
      <c r="BB65">
        <v>0</v>
      </c>
      <c r="BC65">
        <v>0</v>
      </c>
      <c r="BH65" t="s">
        <v>193</v>
      </c>
      <c r="BI65">
        <v>8.8000000000000007</v>
      </c>
      <c r="BW65" t="str">
        <f t="shared" si="5"/>
        <v>Height of the Space - m</v>
      </c>
      <c r="CE65" t="s">
        <v>266</v>
      </c>
      <c r="CF65" t="s">
        <v>633</v>
      </c>
      <c r="CG65" t="s">
        <v>568</v>
      </c>
    </row>
    <row r="66" spans="3:176" x14ac:dyDescent="0.25">
      <c r="BA66" t="str">
        <f t="shared" si="4"/>
        <v>Hotel/Motel - Hotel Guest Rooms</v>
      </c>
      <c r="BB66">
        <v>0</v>
      </c>
      <c r="BC66">
        <v>0</v>
      </c>
      <c r="BH66" t="s">
        <v>194</v>
      </c>
      <c r="BI66">
        <v>11.9</v>
      </c>
      <c r="BW66" t="str">
        <f t="shared" si="5"/>
        <v>Length of the Space - m</v>
      </c>
      <c r="CE66" t="s">
        <v>267</v>
      </c>
      <c r="CF66" t="s">
        <v>572</v>
      </c>
      <c r="CG66" t="s">
        <v>569</v>
      </c>
    </row>
    <row r="67" spans="3:176" x14ac:dyDescent="0.25">
      <c r="BA67" t="str">
        <f t="shared" si="4"/>
        <v>Hotel/Motel - Hotel Lobby</v>
      </c>
      <c r="BB67">
        <v>0</v>
      </c>
      <c r="BC67">
        <v>0</v>
      </c>
      <c r="BH67" t="s">
        <v>195</v>
      </c>
      <c r="BI67">
        <v>11.4</v>
      </c>
      <c r="BW67" t="str">
        <f t="shared" si="5"/>
        <v>Width of the Space - m</v>
      </c>
      <c r="CE67" t="s">
        <v>597</v>
      </c>
      <c r="CF67" t="s">
        <v>657</v>
      </c>
      <c r="CG67" t="s">
        <v>656</v>
      </c>
    </row>
    <row r="68" spans="3:176" x14ac:dyDescent="0.25">
      <c r="BA68" t="str">
        <f t="shared" si="4"/>
        <v>Hotel/Motel - Highway Lodging Dining</v>
      </c>
      <c r="BB68">
        <v>0</v>
      </c>
      <c r="BC68">
        <v>0</v>
      </c>
      <c r="BH68" t="s">
        <v>196</v>
      </c>
      <c r="BI68">
        <v>9.5</v>
      </c>
      <c r="BW68" t="str">
        <f t="shared" si="5"/>
        <v>IILE</v>
      </c>
      <c r="CE68" t="s">
        <v>594</v>
      </c>
      <c r="CF68" t="s">
        <v>677</v>
      </c>
      <c r="CG68" t="s">
        <v>599</v>
      </c>
    </row>
    <row r="69" spans="3:176" x14ac:dyDescent="0.25">
      <c r="BA69" t="str">
        <f t="shared" ref="BA69:BA100" si="6">IF(Select_Lang="English",BB170,BA170)</f>
        <v>Hotel/Motel - Highway Lodging Guest Rooms</v>
      </c>
      <c r="BB69">
        <v>0</v>
      </c>
      <c r="BC69">
        <v>0</v>
      </c>
      <c r="BH69" t="s">
        <v>197</v>
      </c>
      <c r="BI69">
        <v>8.1</v>
      </c>
      <c r="BW69" t="str">
        <f t="shared" si="5"/>
        <v>ILEA</v>
      </c>
      <c r="CE69" t="s">
        <v>654</v>
      </c>
      <c r="CF69" t="s">
        <v>676</v>
      </c>
      <c r="CG69" t="s">
        <v>672</v>
      </c>
      <c r="FS69" s="49"/>
      <c r="FT69" s="49"/>
    </row>
    <row r="70" spans="3:176" ht="15.75" x14ac:dyDescent="0.25">
      <c r="C70" t="s">
        <v>262</v>
      </c>
      <c r="H70" t="s">
        <v>289</v>
      </c>
      <c r="BA70" t="str">
        <f t="shared" si="6"/>
        <v>Library - Card File and Cataloging</v>
      </c>
      <c r="BB70">
        <v>0</v>
      </c>
      <c r="BC70">
        <v>0</v>
      </c>
      <c r="BH70" t="s">
        <v>198</v>
      </c>
      <c r="BI70">
        <v>7.8</v>
      </c>
      <c r="BW70" t="str">
        <f t="shared" si="5"/>
        <v>Personal Control</v>
      </c>
      <c r="CE70" t="s">
        <v>651</v>
      </c>
      <c r="CF70" t="s">
        <v>655</v>
      </c>
      <c r="CG70" s="83" t="s">
        <v>675</v>
      </c>
      <c r="FS70" s="49"/>
      <c r="FT70" s="49"/>
    </row>
    <row r="71" spans="3:176" ht="47.25" customHeight="1" x14ac:dyDescent="0.25">
      <c r="C71" s="43" t="s">
        <v>496</v>
      </c>
      <c r="D71" s="44" t="s">
        <v>501</v>
      </c>
      <c r="E71" s="44" t="s">
        <v>501</v>
      </c>
      <c r="F71" s="44" t="s">
        <v>502</v>
      </c>
      <c r="G71" s="44" t="s">
        <v>503</v>
      </c>
      <c r="H71" s="96" t="s">
        <v>680</v>
      </c>
      <c r="I71" s="44" t="s">
        <v>698</v>
      </c>
      <c r="J71" s="97" t="s">
        <v>699</v>
      </c>
      <c r="K71" s="97" t="s">
        <v>700</v>
      </c>
      <c r="L71" s="97" t="s">
        <v>701</v>
      </c>
      <c r="BA71" t="str">
        <f t="shared" si="6"/>
        <v>Library - Reading Area</v>
      </c>
      <c r="BB71">
        <v>0</v>
      </c>
      <c r="BC71">
        <v>0</v>
      </c>
      <c r="BH71" t="s">
        <v>199</v>
      </c>
      <c r="BI71">
        <v>10</v>
      </c>
      <c r="BW71" t="str">
        <f t="shared" si="5"/>
        <v>Sidelighting Effective Aperture (%)</v>
      </c>
      <c r="CE71" t="s">
        <v>653</v>
      </c>
      <c r="CF71" t="s">
        <v>655</v>
      </c>
      <c r="CG71" s="83" t="s">
        <v>675</v>
      </c>
      <c r="FS71" s="49"/>
      <c r="FT71" s="49"/>
    </row>
    <row r="72" spans="3:176" x14ac:dyDescent="0.25">
      <c r="C72" s="45" t="s">
        <v>448</v>
      </c>
      <c r="H72" s="45" t="s">
        <v>681</v>
      </c>
      <c r="BA72" t="str">
        <f t="shared" si="6"/>
        <v>Library - Stacks</v>
      </c>
      <c r="BB72">
        <v>0</v>
      </c>
      <c r="BC72">
        <v>0</v>
      </c>
      <c r="BH72" t="s">
        <v>200</v>
      </c>
      <c r="BI72">
        <v>22.9</v>
      </c>
      <c r="FS72" s="49"/>
      <c r="FT72" s="49"/>
    </row>
    <row r="73" spans="3:176" x14ac:dyDescent="0.25">
      <c r="C73" s="45" t="s">
        <v>448</v>
      </c>
      <c r="H73" s="45" t="s">
        <v>681</v>
      </c>
      <c r="BA73" t="str">
        <f t="shared" si="6"/>
        <v>Manufacturing - Corridor/Transition ≥ 2.4 m wide</v>
      </c>
      <c r="BB73">
        <v>0</v>
      </c>
      <c r="BC73">
        <v>0</v>
      </c>
      <c r="BH73" t="s">
        <v>201</v>
      </c>
      <c r="BI73">
        <v>4.4000000000000004</v>
      </c>
      <c r="BW73" t="str">
        <f t="shared" si="5"/>
        <v>Skylight Effective Aperture (%)</v>
      </c>
      <c r="FS73" s="49"/>
      <c r="FT73" s="49"/>
    </row>
    <row r="74" spans="3:176" x14ac:dyDescent="0.25">
      <c r="C74" s="45" t="s">
        <v>449</v>
      </c>
      <c r="H74" s="45" t="s">
        <v>724</v>
      </c>
      <c r="BA74" t="str">
        <f t="shared" si="6"/>
        <v>Manufacturing - Corridor/Transition &lt; 2.4 m wide</v>
      </c>
      <c r="BB74">
        <v>0</v>
      </c>
      <c r="BC74">
        <v>0</v>
      </c>
      <c r="BH74" t="s">
        <v>202</v>
      </c>
      <c r="BI74">
        <v>5.5</v>
      </c>
      <c r="BW74" t="str">
        <f t="shared" si="5"/>
        <v>Is the building located above the 55N latitude?</v>
      </c>
      <c r="FS74" s="49"/>
      <c r="FT74" s="49"/>
    </row>
    <row r="75" spans="3:176" x14ac:dyDescent="0.25">
      <c r="C75" s="45" t="s">
        <v>449</v>
      </c>
      <c r="H75" s="45" t="s">
        <v>724</v>
      </c>
      <c r="BA75" t="str">
        <f t="shared" si="6"/>
        <v>Manufacturing - Detailed Manufacturing</v>
      </c>
      <c r="BB75">
        <v>0</v>
      </c>
      <c r="BC75">
        <v>0</v>
      </c>
      <c r="BH75" t="s">
        <v>203</v>
      </c>
      <c r="BI75">
        <v>13.9</v>
      </c>
      <c r="BW75" t="str">
        <f t="shared" si="5"/>
        <v>Is the exemption described in Clause 4.2.2.4.(2)(a) applicable?</v>
      </c>
      <c r="FS75" s="49"/>
      <c r="FT75" s="49"/>
    </row>
    <row r="76" spans="3:176" x14ac:dyDescent="0.25">
      <c r="C76" s="45" t="s">
        <v>450</v>
      </c>
      <c r="H76" s="45" t="s">
        <v>709</v>
      </c>
      <c r="BA76" t="str">
        <f t="shared" si="6"/>
        <v>Manufacturing - Equipment Room</v>
      </c>
      <c r="BB76">
        <v>0.2</v>
      </c>
      <c r="BC76">
        <v>0</v>
      </c>
      <c r="BH76" t="s">
        <v>204</v>
      </c>
      <c r="BI76">
        <v>13.4</v>
      </c>
      <c r="FS76" s="49"/>
      <c r="FT76" s="49"/>
    </row>
    <row r="77" spans="3:176" x14ac:dyDescent="0.25">
      <c r="C77" s="45" t="s">
        <v>450</v>
      </c>
      <c r="H77" s="45" t="s">
        <v>709</v>
      </c>
      <c r="BA77" t="str">
        <f t="shared" si="6"/>
        <v>Manufacturing - Extra High Bay (&gt; 15 m floor to ceiling height)</v>
      </c>
      <c r="BB77">
        <v>0</v>
      </c>
      <c r="BC77">
        <v>0</v>
      </c>
      <c r="BH77" t="s">
        <v>205</v>
      </c>
      <c r="BI77">
        <v>11.3</v>
      </c>
      <c r="FS77" s="49"/>
      <c r="FT77" s="49"/>
    </row>
    <row r="78" spans="3:176" x14ac:dyDescent="0.25">
      <c r="C78" s="45" t="s">
        <v>451</v>
      </c>
      <c r="H78" s="45" t="s">
        <v>710</v>
      </c>
      <c r="BA78" t="str">
        <f t="shared" si="6"/>
        <v>Manufacturing - High Bay (7.5 m to 15 m floor to ceiling height)</v>
      </c>
      <c r="BB78">
        <v>0</v>
      </c>
      <c r="BC78">
        <v>0</v>
      </c>
      <c r="BH78" t="s">
        <v>206</v>
      </c>
      <c r="BI78">
        <v>13.2</v>
      </c>
      <c r="FS78" s="49"/>
      <c r="FT78" s="49"/>
    </row>
    <row r="79" spans="3:176" x14ac:dyDescent="0.25">
      <c r="C79" s="45" t="s">
        <v>451</v>
      </c>
      <c r="H79" s="45" t="s">
        <v>710</v>
      </c>
      <c r="BA79" t="str">
        <f t="shared" si="6"/>
        <v>Manufacturing - Low Bay (&lt; 7.5 m floor to ceiling height)</v>
      </c>
      <c r="BB79">
        <v>0</v>
      </c>
      <c r="BC79">
        <v>0</v>
      </c>
      <c r="BH79" t="s">
        <v>207</v>
      </c>
      <c r="BI79">
        <v>12.8</v>
      </c>
      <c r="FS79" s="49"/>
      <c r="FT79" s="49"/>
    </row>
    <row r="80" spans="3:176" x14ac:dyDescent="0.25">
      <c r="C80" s="45" t="s">
        <v>452</v>
      </c>
      <c r="H80" s="45" t="s">
        <v>711</v>
      </c>
      <c r="BA80" t="str">
        <f t="shared" si="6"/>
        <v>Museum - General Exhibition</v>
      </c>
      <c r="BB80">
        <v>0.2</v>
      </c>
      <c r="BC80">
        <v>0</v>
      </c>
      <c r="BH80" t="s">
        <v>208</v>
      </c>
      <c r="BI80">
        <v>11.3</v>
      </c>
      <c r="FS80" s="49"/>
      <c r="FT80" s="49"/>
    </row>
    <row r="81" spans="3:176" x14ac:dyDescent="0.25">
      <c r="C81" s="45" t="s">
        <v>452</v>
      </c>
      <c r="H81" s="45" t="s">
        <v>711</v>
      </c>
      <c r="BA81" t="str">
        <f t="shared" si="6"/>
        <v>Museum - Restoration</v>
      </c>
      <c r="BB81">
        <v>0.3</v>
      </c>
      <c r="BC81">
        <v>0</v>
      </c>
      <c r="BH81" t="s">
        <v>209</v>
      </c>
      <c r="BI81">
        <v>11</v>
      </c>
      <c r="FS81" s="49"/>
      <c r="FT81" s="49"/>
    </row>
    <row r="82" spans="3:176" x14ac:dyDescent="0.25">
      <c r="C82" s="45" t="s">
        <v>453</v>
      </c>
      <c r="H82" s="45" t="s">
        <v>712</v>
      </c>
      <c r="BA82" t="str">
        <f t="shared" si="6"/>
        <v>Parking Garage - Garage Area</v>
      </c>
      <c r="BB82">
        <v>0.4</v>
      </c>
      <c r="BC82">
        <v>0</v>
      </c>
      <c r="BH82" t="s">
        <v>163</v>
      </c>
      <c r="BI82">
        <v>2</v>
      </c>
      <c r="FS82" s="49"/>
      <c r="FT82" s="49"/>
    </row>
    <row r="83" spans="3:176" x14ac:dyDescent="0.25">
      <c r="C83" s="45" t="s">
        <v>454</v>
      </c>
      <c r="H83" s="45" t="s">
        <v>682</v>
      </c>
      <c r="BA83" t="str">
        <f t="shared" si="6"/>
        <v>Post Office - Sorting Area</v>
      </c>
      <c r="BB83">
        <v>0</v>
      </c>
      <c r="BC83">
        <v>0</v>
      </c>
      <c r="BH83" t="s">
        <v>164</v>
      </c>
      <c r="BI83">
        <v>10.1</v>
      </c>
      <c r="FS83" s="49"/>
      <c r="FT83" s="49"/>
    </row>
    <row r="84" spans="3:176" x14ac:dyDescent="0.25">
      <c r="C84" s="45" t="s">
        <v>455</v>
      </c>
      <c r="H84" s="45" t="s">
        <v>683</v>
      </c>
      <c r="BA84" t="str">
        <f t="shared" si="6"/>
        <v>Religious Buildings - Audience Seating</v>
      </c>
      <c r="BB84">
        <v>0.3</v>
      </c>
      <c r="BC84">
        <v>0</v>
      </c>
      <c r="BH84" t="s">
        <v>210</v>
      </c>
      <c r="BI84">
        <v>18.2</v>
      </c>
      <c r="FS84" s="49"/>
      <c r="FT84" s="49"/>
    </row>
    <row r="85" spans="3:176" x14ac:dyDescent="0.25">
      <c r="C85" s="45" t="s">
        <v>455</v>
      </c>
      <c r="H85" s="45" t="s">
        <v>683</v>
      </c>
      <c r="BA85" t="str">
        <f t="shared" si="6"/>
        <v>Religious Buildings - Fellowship Hall</v>
      </c>
      <c r="BB85">
        <v>0.3</v>
      </c>
      <c r="BC85">
        <v>0</v>
      </c>
      <c r="BH85" t="s">
        <v>211</v>
      </c>
      <c r="BI85">
        <v>6.9</v>
      </c>
      <c r="FS85" s="49"/>
      <c r="FT85" s="49"/>
    </row>
    <row r="86" spans="3:176" x14ac:dyDescent="0.25">
      <c r="C86" s="45" t="s">
        <v>456</v>
      </c>
      <c r="H86" s="45" t="s">
        <v>684</v>
      </c>
      <c r="BA86" t="str">
        <f t="shared" si="6"/>
        <v>Religious Buildings - Worship Pulpit, Choir</v>
      </c>
      <c r="BB86">
        <v>0.1</v>
      </c>
      <c r="BC86">
        <v>0</v>
      </c>
      <c r="BH86" t="s">
        <v>212</v>
      </c>
      <c r="BI86">
        <v>18.2</v>
      </c>
      <c r="FS86" s="49"/>
      <c r="FT86" s="49"/>
    </row>
    <row r="87" spans="3:176" x14ac:dyDescent="0.25">
      <c r="C87" s="45" t="s">
        <v>456</v>
      </c>
      <c r="H87" s="45" t="s">
        <v>684</v>
      </c>
      <c r="BA87" t="str">
        <f t="shared" si="6"/>
        <v>Retail - Dressing/Fitting Room</v>
      </c>
      <c r="BB87">
        <v>0.4</v>
      </c>
      <c r="BC87">
        <v>0</v>
      </c>
      <c r="BH87" t="s">
        <v>213</v>
      </c>
      <c r="BI87">
        <v>9.4</v>
      </c>
    </row>
    <row r="88" spans="3:176" x14ac:dyDescent="0.25">
      <c r="C88" s="45" t="s">
        <v>457</v>
      </c>
      <c r="H88" s="45" t="s">
        <v>685</v>
      </c>
      <c r="BA88" t="str">
        <f t="shared" si="6"/>
        <v>Retail - Mall Concourse</v>
      </c>
      <c r="BB88">
        <v>0</v>
      </c>
      <c r="BC88">
        <v>0</v>
      </c>
      <c r="BH88" t="s">
        <v>214</v>
      </c>
      <c r="BI88">
        <v>11.8</v>
      </c>
    </row>
    <row r="89" spans="3:176" x14ac:dyDescent="0.25">
      <c r="C89" s="45" t="s">
        <v>457</v>
      </c>
      <c r="H89" s="45" t="s">
        <v>685</v>
      </c>
      <c r="BA89" t="str">
        <f t="shared" si="6"/>
        <v>Retail - Sales Area</v>
      </c>
      <c r="BB89">
        <v>0</v>
      </c>
      <c r="BC89">
        <v>0</v>
      </c>
      <c r="BH89" t="s">
        <v>215</v>
      </c>
      <c r="BI89">
        <v>18.100000000000001</v>
      </c>
    </row>
    <row r="90" spans="3:176" x14ac:dyDescent="0.25">
      <c r="C90" s="45" t="s">
        <v>458</v>
      </c>
      <c r="H90" s="45" t="s">
        <v>686</v>
      </c>
      <c r="BA90" t="str">
        <f t="shared" si="6"/>
        <v>Sports Arena - Audience Seating</v>
      </c>
      <c r="BB90">
        <v>0</v>
      </c>
      <c r="BC90">
        <v>0</v>
      </c>
      <c r="BH90" t="s">
        <v>216</v>
      </c>
      <c r="BI90">
        <v>4.5999999999999996</v>
      </c>
    </row>
    <row r="91" spans="3:176" x14ac:dyDescent="0.25">
      <c r="C91" s="45" t="s">
        <v>458</v>
      </c>
      <c r="H91" s="45" t="s">
        <v>686</v>
      </c>
      <c r="BA91" t="str">
        <f t="shared" si="6"/>
        <v>Sports Arena - Court Sports Area - Class 4</v>
      </c>
      <c r="BB91">
        <v>0</v>
      </c>
      <c r="BC91">
        <v>0</v>
      </c>
      <c r="BH91" t="s">
        <v>217</v>
      </c>
      <c r="BI91">
        <v>7.8</v>
      </c>
    </row>
    <row r="92" spans="3:176" x14ac:dyDescent="0.25">
      <c r="C92" s="45" t="s">
        <v>458</v>
      </c>
      <c r="H92" s="45" t="s">
        <v>686</v>
      </c>
      <c r="BA92" t="str">
        <f t="shared" si="6"/>
        <v>Sports Arena - Court Sports Area - Class 3</v>
      </c>
      <c r="BB92">
        <v>0</v>
      </c>
      <c r="BC92">
        <v>0</v>
      </c>
      <c r="BH92" t="s">
        <v>218</v>
      </c>
      <c r="BI92">
        <v>12.9</v>
      </c>
    </row>
    <row r="93" spans="3:176" x14ac:dyDescent="0.25">
      <c r="C93" s="45" t="s">
        <v>458</v>
      </c>
      <c r="H93" s="45" t="s">
        <v>686</v>
      </c>
      <c r="BA93" t="str">
        <f t="shared" si="6"/>
        <v>Sports Arena - Court Sports Area - Class 2</v>
      </c>
      <c r="BB93">
        <v>0</v>
      </c>
      <c r="BC93">
        <v>0</v>
      </c>
      <c r="BH93" t="s">
        <v>219</v>
      </c>
      <c r="BI93">
        <v>20.7</v>
      </c>
    </row>
    <row r="94" spans="3:176" x14ac:dyDescent="0.25">
      <c r="C94" s="45" t="s">
        <v>458</v>
      </c>
      <c r="H94" s="45" t="s">
        <v>686</v>
      </c>
      <c r="BA94" t="str">
        <f t="shared" si="6"/>
        <v>Sports Arena - Court Sports Area - Class 1</v>
      </c>
      <c r="BB94">
        <v>0</v>
      </c>
      <c r="BC94">
        <v>0</v>
      </c>
      <c r="BH94" t="s">
        <v>220</v>
      </c>
      <c r="BI94">
        <v>32.4</v>
      </c>
    </row>
    <row r="95" spans="3:176" x14ac:dyDescent="0.25">
      <c r="C95" s="45" t="s">
        <v>458</v>
      </c>
      <c r="H95" s="45" t="s">
        <v>686</v>
      </c>
      <c r="BA95" t="str">
        <f t="shared" si="6"/>
        <v>Sports Arena - Ring Sports Area</v>
      </c>
      <c r="BB95">
        <v>0</v>
      </c>
      <c r="BC95">
        <v>0</v>
      </c>
      <c r="BH95" t="s">
        <v>221</v>
      </c>
      <c r="BI95">
        <v>28.8</v>
      </c>
    </row>
    <row r="96" spans="3:176" x14ac:dyDescent="0.25">
      <c r="C96" s="45" t="s">
        <v>459</v>
      </c>
      <c r="H96" s="45" t="s">
        <v>723</v>
      </c>
      <c r="BA96" t="str">
        <f t="shared" si="6"/>
        <v>Transportation - Air/Train/Bus - Baggage Area</v>
      </c>
      <c r="BB96">
        <v>0</v>
      </c>
      <c r="BC96">
        <v>0</v>
      </c>
      <c r="BH96" t="s">
        <v>222</v>
      </c>
      <c r="BI96">
        <v>8.1999999999999993</v>
      </c>
    </row>
    <row r="97" spans="3:61" x14ac:dyDescent="0.25">
      <c r="C97" s="45" t="s">
        <v>459</v>
      </c>
      <c r="H97" s="45" t="s">
        <v>723</v>
      </c>
      <c r="BA97" t="str">
        <f t="shared" si="6"/>
        <v>Transportation - Airport - Concourse</v>
      </c>
      <c r="BB97">
        <v>0</v>
      </c>
      <c r="BC97">
        <v>0</v>
      </c>
      <c r="BH97" t="s">
        <v>223</v>
      </c>
      <c r="BI97">
        <v>3.9</v>
      </c>
    </row>
    <row r="98" spans="3:61" x14ac:dyDescent="0.25">
      <c r="C98" s="45" t="s">
        <v>459</v>
      </c>
      <c r="H98" s="45" t="s">
        <v>723</v>
      </c>
      <c r="BA98" t="str">
        <f t="shared" si="6"/>
        <v>Transportation - Seating area</v>
      </c>
      <c r="BB98">
        <v>0</v>
      </c>
      <c r="BC98">
        <v>0</v>
      </c>
      <c r="BH98" t="s">
        <v>224</v>
      </c>
      <c r="BI98">
        <v>5.8</v>
      </c>
    </row>
    <row r="99" spans="3:61" x14ac:dyDescent="0.25">
      <c r="C99" s="45" t="s">
        <v>459</v>
      </c>
      <c r="H99" s="45" t="s">
        <v>723</v>
      </c>
      <c r="BA99" t="str">
        <f t="shared" si="6"/>
        <v>Transportation - Terminal - Ticket Counter</v>
      </c>
      <c r="BB99">
        <v>0</v>
      </c>
      <c r="BC99">
        <v>0</v>
      </c>
      <c r="BH99" t="s">
        <v>225</v>
      </c>
      <c r="BI99">
        <v>11.6</v>
      </c>
    </row>
    <row r="100" spans="3:61" x14ac:dyDescent="0.25">
      <c r="C100" s="45" t="s">
        <v>459</v>
      </c>
      <c r="H100" s="45" t="s">
        <v>723</v>
      </c>
      <c r="BA100" t="str">
        <f t="shared" si="6"/>
        <v>Warehouse - Fine Material Storage</v>
      </c>
      <c r="BB100">
        <v>0.5</v>
      </c>
      <c r="BC100">
        <v>0</v>
      </c>
      <c r="BH100" t="s">
        <v>226</v>
      </c>
      <c r="BI100">
        <v>10.199999999999999</v>
      </c>
    </row>
    <row r="101" spans="3:61" x14ac:dyDescent="0.25">
      <c r="C101" s="45" t="s">
        <v>459</v>
      </c>
      <c r="H101" s="45" t="s">
        <v>723</v>
      </c>
      <c r="BA101" t="str">
        <f t="shared" ref="BA101:BA102" si="7">IF(Select_Lang="English",BB202,BA202)</f>
        <v>Warehouse - Medium/Bulky Material</v>
      </c>
      <c r="BB101">
        <v>0.5</v>
      </c>
      <c r="BC101">
        <v>0</v>
      </c>
      <c r="BH101" t="s">
        <v>227</v>
      </c>
      <c r="BI101">
        <v>6.3</v>
      </c>
    </row>
    <row r="102" spans="3:61" x14ac:dyDescent="0.25">
      <c r="C102" s="45" t="s">
        <v>460</v>
      </c>
      <c r="H102" s="45" t="s">
        <v>713</v>
      </c>
      <c r="BA102" t="str">
        <f t="shared" si="7"/>
        <v>Warehouse - Medium/Bulky Material with permanent shelving &gt; 60% of ceiling height</v>
      </c>
      <c r="BB102">
        <v>0.5</v>
      </c>
      <c r="BC102">
        <v>0</v>
      </c>
      <c r="BH102" t="s">
        <v>228</v>
      </c>
      <c r="BI102">
        <v>10.199999999999999</v>
      </c>
    </row>
    <row r="103" spans="3:61" x14ac:dyDescent="0.25">
      <c r="C103" s="45" t="s">
        <v>460</v>
      </c>
      <c r="H103" s="45" t="s">
        <v>713</v>
      </c>
    </row>
    <row r="104" spans="3:61" x14ac:dyDescent="0.25">
      <c r="C104" s="45" t="s">
        <v>460</v>
      </c>
      <c r="H104" s="45" t="s">
        <v>713</v>
      </c>
    </row>
    <row r="105" spans="3:61" x14ac:dyDescent="0.25">
      <c r="C105" s="45" t="s">
        <v>460</v>
      </c>
      <c r="H105" s="45" t="s">
        <v>713</v>
      </c>
      <c r="BA105" t="s">
        <v>289</v>
      </c>
      <c r="BB105" t="s">
        <v>262</v>
      </c>
    </row>
    <row r="106" spans="3:61" x14ac:dyDescent="0.25">
      <c r="C106" s="45" t="s">
        <v>460</v>
      </c>
      <c r="H106" s="45" t="s">
        <v>713</v>
      </c>
      <c r="BA106" t="s">
        <v>239</v>
      </c>
      <c r="BB106" t="s">
        <v>239</v>
      </c>
    </row>
    <row r="107" spans="3:61" x14ac:dyDescent="0.25">
      <c r="C107" s="45" t="s">
        <v>460</v>
      </c>
      <c r="H107" s="45" t="s">
        <v>713</v>
      </c>
      <c r="BA107" t="s">
        <v>325</v>
      </c>
      <c r="BB107" t="s">
        <v>146</v>
      </c>
    </row>
    <row r="108" spans="3:61" x14ac:dyDescent="0.25">
      <c r="C108" s="45" t="s">
        <v>461</v>
      </c>
      <c r="H108" s="45" t="s">
        <v>714</v>
      </c>
      <c r="BA108" t="s">
        <v>327</v>
      </c>
      <c r="BB108" t="s">
        <v>147</v>
      </c>
    </row>
    <row r="109" spans="3:61" x14ac:dyDescent="0.25">
      <c r="C109" s="45" t="s">
        <v>461</v>
      </c>
      <c r="H109" s="45" t="s">
        <v>714</v>
      </c>
      <c r="BA109" t="s">
        <v>326</v>
      </c>
      <c r="BB109" t="s">
        <v>148</v>
      </c>
    </row>
    <row r="110" spans="3:61" x14ac:dyDescent="0.25">
      <c r="C110" s="45" t="s">
        <v>461</v>
      </c>
      <c r="H110" s="45" t="s">
        <v>714</v>
      </c>
      <c r="BA110" t="s">
        <v>328</v>
      </c>
      <c r="BB110" t="s">
        <v>127</v>
      </c>
    </row>
    <row r="111" spans="3:61" x14ac:dyDescent="0.25">
      <c r="C111" s="45" t="s">
        <v>461</v>
      </c>
      <c r="H111" s="45" t="s">
        <v>714</v>
      </c>
      <c r="BA111" t="s">
        <v>329</v>
      </c>
      <c r="BB111" t="s">
        <v>128</v>
      </c>
    </row>
    <row r="112" spans="3:61" x14ac:dyDescent="0.25">
      <c r="C112" s="45" t="s">
        <v>461</v>
      </c>
      <c r="H112" s="45" t="s">
        <v>714</v>
      </c>
      <c r="BA112" t="s">
        <v>330</v>
      </c>
      <c r="BB112" t="s">
        <v>129</v>
      </c>
    </row>
    <row r="113" spans="3:54" x14ac:dyDescent="0.25">
      <c r="C113" s="45" t="s">
        <v>461</v>
      </c>
      <c r="H113" s="45" t="s">
        <v>714</v>
      </c>
      <c r="BA113" t="s">
        <v>331</v>
      </c>
      <c r="BB113" t="s">
        <v>130</v>
      </c>
    </row>
    <row r="114" spans="3:54" x14ac:dyDescent="0.25">
      <c r="C114" s="45" t="s">
        <v>462</v>
      </c>
      <c r="H114" s="45" t="s">
        <v>715</v>
      </c>
      <c r="BA114" t="s">
        <v>334</v>
      </c>
      <c r="BB114" t="s">
        <v>149</v>
      </c>
    </row>
    <row r="115" spans="3:54" x14ac:dyDescent="0.25">
      <c r="C115" s="45" t="s">
        <v>462</v>
      </c>
      <c r="H115" s="45" t="s">
        <v>715</v>
      </c>
      <c r="BA115" t="s">
        <v>332</v>
      </c>
      <c r="BB115" t="s">
        <v>150</v>
      </c>
    </row>
    <row r="116" spans="3:54" x14ac:dyDescent="0.25">
      <c r="C116" s="45" t="s">
        <v>462</v>
      </c>
      <c r="H116" s="45" t="s">
        <v>715</v>
      </c>
      <c r="BA116" t="s">
        <v>333</v>
      </c>
      <c r="BB116" t="s">
        <v>151</v>
      </c>
    </row>
    <row r="117" spans="3:54" x14ac:dyDescent="0.25">
      <c r="C117" s="45" t="s">
        <v>462</v>
      </c>
      <c r="H117" s="45" t="s">
        <v>715</v>
      </c>
      <c r="BA117" t="s">
        <v>335</v>
      </c>
      <c r="BB117" t="s">
        <v>152</v>
      </c>
    </row>
    <row r="118" spans="3:54" x14ac:dyDescent="0.25">
      <c r="C118" s="45" t="s">
        <v>462</v>
      </c>
      <c r="H118" s="45" t="s">
        <v>715</v>
      </c>
      <c r="BA118" t="s">
        <v>339</v>
      </c>
      <c r="BB118" t="s">
        <v>132</v>
      </c>
    </row>
    <row r="119" spans="3:54" x14ac:dyDescent="0.25">
      <c r="C119" s="45" t="s">
        <v>462</v>
      </c>
      <c r="H119" s="45" t="s">
        <v>715</v>
      </c>
      <c r="BA119" t="s">
        <v>340</v>
      </c>
      <c r="BB119" t="s">
        <v>133</v>
      </c>
    </row>
    <row r="120" spans="3:54" x14ac:dyDescent="0.25">
      <c r="C120" s="45" t="s">
        <v>463</v>
      </c>
      <c r="H120" s="45" t="s">
        <v>716</v>
      </c>
      <c r="BA120" t="s">
        <v>351</v>
      </c>
      <c r="BB120" t="s">
        <v>153</v>
      </c>
    </row>
    <row r="121" spans="3:54" x14ac:dyDescent="0.25">
      <c r="C121" s="45" t="s">
        <v>463</v>
      </c>
      <c r="H121" s="45" t="s">
        <v>716</v>
      </c>
      <c r="BA121" t="s">
        <v>352</v>
      </c>
      <c r="BB121" t="s">
        <v>154</v>
      </c>
    </row>
    <row r="122" spans="3:54" x14ac:dyDescent="0.25">
      <c r="C122" s="45" t="s">
        <v>463</v>
      </c>
      <c r="H122" s="45" t="s">
        <v>716</v>
      </c>
      <c r="BA122" t="s">
        <v>347</v>
      </c>
      <c r="BB122" t="s">
        <v>155</v>
      </c>
    </row>
    <row r="123" spans="3:54" x14ac:dyDescent="0.25">
      <c r="C123" s="45" t="s">
        <v>464</v>
      </c>
      <c r="H123" s="45" t="s">
        <v>687</v>
      </c>
      <c r="BA123" t="s">
        <v>348</v>
      </c>
      <c r="BB123" t="s">
        <v>156</v>
      </c>
    </row>
    <row r="124" spans="3:54" x14ac:dyDescent="0.25">
      <c r="C124" s="45" t="s">
        <v>464</v>
      </c>
      <c r="H124" s="45" t="s">
        <v>687</v>
      </c>
      <c r="BA124" t="s">
        <v>349</v>
      </c>
      <c r="BB124" t="s">
        <v>157</v>
      </c>
    </row>
    <row r="125" spans="3:54" x14ac:dyDescent="0.25">
      <c r="C125" s="45" t="s">
        <v>464</v>
      </c>
      <c r="H125" s="45" t="s">
        <v>687</v>
      </c>
      <c r="BA125" t="s">
        <v>350</v>
      </c>
      <c r="BB125" t="s">
        <v>158</v>
      </c>
    </row>
    <row r="126" spans="3:54" x14ac:dyDescent="0.25">
      <c r="C126" s="45" t="s">
        <v>465</v>
      </c>
      <c r="H126" s="45" t="s">
        <v>688</v>
      </c>
      <c r="BA126" t="s">
        <v>337</v>
      </c>
      <c r="BB126" t="s">
        <v>134</v>
      </c>
    </row>
    <row r="127" spans="3:54" x14ac:dyDescent="0.25">
      <c r="C127" s="45" t="s">
        <v>465</v>
      </c>
      <c r="H127" s="45" t="s">
        <v>688</v>
      </c>
      <c r="BA127" t="s">
        <v>341</v>
      </c>
      <c r="BB127" t="s">
        <v>135</v>
      </c>
    </row>
    <row r="128" spans="3:54" x14ac:dyDescent="0.25">
      <c r="C128" s="45" t="s">
        <v>465</v>
      </c>
      <c r="H128" s="45" t="s">
        <v>688</v>
      </c>
      <c r="BA128" t="s">
        <v>342</v>
      </c>
      <c r="BB128" t="s">
        <v>136</v>
      </c>
    </row>
    <row r="129" spans="3:54" x14ac:dyDescent="0.25">
      <c r="C129" s="45" t="s">
        <v>465</v>
      </c>
      <c r="H129" s="45" t="s">
        <v>688</v>
      </c>
      <c r="BA129" t="s">
        <v>343</v>
      </c>
      <c r="BB129" t="s">
        <v>137</v>
      </c>
    </row>
    <row r="130" spans="3:54" x14ac:dyDescent="0.25">
      <c r="C130" s="45" t="s">
        <v>465</v>
      </c>
      <c r="H130" s="45" t="s">
        <v>688</v>
      </c>
      <c r="BA130" t="s">
        <v>344</v>
      </c>
      <c r="BB130" t="s">
        <v>139</v>
      </c>
    </row>
    <row r="131" spans="3:54" x14ac:dyDescent="0.25">
      <c r="C131" s="45" t="s">
        <v>465</v>
      </c>
      <c r="H131" s="45" t="s">
        <v>688</v>
      </c>
      <c r="BA131" t="s">
        <v>338</v>
      </c>
      <c r="BB131" t="s">
        <v>140</v>
      </c>
    </row>
    <row r="132" spans="3:54" x14ac:dyDescent="0.25">
      <c r="C132" s="45" t="s">
        <v>466</v>
      </c>
      <c r="H132" s="45" t="s">
        <v>689</v>
      </c>
      <c r="BA132" t="s">
        <v>345</v>
      </c>
      <c r="BB132" t="s">
        <v>159</v>
      </c>
    </row>
    <row r="133" spans="3:54" x14ac:dyDescent="0.25">
      <c r="C133" s="45" t="s">
        <v>466</v>
      </c>
      <c r="H133" s="45" t="s">
        <v>689</v>
      </c>
      <c r="BA133" t="s">
        <v>336</v>
      </c>
      <c r="BB133" t="s">
        <v>138</v>
      </c>
    </row>
    <row r="134" spans="3:54" x14ac:dyDescent="0.25">
      <c r="C134" s="45" t="s">
        <v>466</v>
      </c>
      <c r="H134" s="45" t="s">
        <v>689</v>
      </c>
      <c r="BA134" t="s">
        <v>346</v>
      </c>
      <c r="BB134" t="s">
        <v>141</v>
      </c>
    </row>
    <row r="135" spans="3:54" x14ac:dyDescent="0.25">
      <c r="C135" s="45" t="s">
        <v>466</v>
      </c>
      <c r="H135" s="45" t="s">
        <v>689</v>
      </c>
      <c r="BA135" t="s">
        <v>353</v>
      </c>
      <c r="BB135" t="s">
        <v>160</v>
      </c>
    </row>
    <row r="136" spans="3:54" x14ac:dyDescent="0.25">
      <c r="C136" s="45" t="s">
        <v>466</v>
      </c>
      <c r="H136" s="45" t="s">
        <v>689</v>
      </c>
      <c r="BA136" t="s">
        <v>354</v>
      </c>
      <c r="BB136" t="s">
        <v>161</v>
      </c>
    </row>
    <row r="137" spans="3:54" x14ac:dyDescent="0.25">
      <c r="C137" s="45" t="s">
        <v>466</v>
      </c>
      <c r="H137" s="45" t="s">
        <v>689</v>
      </c>
      <c r="BA137" t="s">
        <v>409</v>
      </c>
      <c r="BB137" t="s">
        <v>165</v>
      </c>
    </row>
    <row r="138" spans="3:54" x14ac:dyDescent="0.25">
      <c r="C138" s="45" t="s">
        <v>467</v>
      </c>
      <c r="H138" s="45" t="s">
        <v>717</v>
      </c>
      <c r="BA138" t="s">
        <v>410</v>
      </c>
      <c r="BB138" t="s">
        <v>166</v>
      </c>
    </row>
    <row r="139" spans="3:54" x14ac:dyDescent="0.25">
      <c r="C139" s="45" t="s">
        <v>467</v>
      </c>
      <c r="H139" s="45" t="s">
        <v>717</v>
      </c>
      <c r="BA139" t="s">
        <v>636</v>
      </c>
      <c r="BB139" t="s">
        <v>167</v>
      </c>
    </row>
    <row r="140" spans="3:54" x14ac:dyDescent="0.25">
      <c r="C140" s="45" t="s">
        <v>467</v>
      </c>
      <c r="H140" s="45" t="s">
        <v>717</v>
      </c>
      <c r="BA140" t="s">
        <v>637</v>
      </c>
      <c r="BB140" t="s">
        <v>168</v>
      </c>
    </row>
    <row r="141" spans="3:54" x14ac:dyDescent="0.25">
      <c r="C141" s="45" t="s">
        <v>468</v>
      </c>
      <c r="H141" s="45" t="s">
        <v>690</v>
      </c>
      <c r="BA141" t="s">
        <v>641</v>
      </c>
      <c r="BB141" t="s">
        <v>169</v>
      </c>
    </row>
    <row r="142" spans="3:54" x14ac:dyDescent="0.25">
      <c r="C142" s="45" t="s">
        <v>468</v>
      </c>
      <c r="H142" s="45" t="s">
        <v>690</v>
      </c>
      <c r="BA142" t="s">
        <v>640</v>
      </c>
      <c r="BB142" t="s">
        <v>170</v>
      </c>
    </row>
    <row r="143" spans="3:54" x14ac:dyDescent="0.25">
      <c r="C143" s="45" t="s">
        <v>468</v>
      </c>
      <c r="H143" s="45" t="s">
        <v>690</v>
      </c>
      <c r="BA143" t="s">
        <v>639</v>
      </c>
      <c r="BB143" t="s">
        <v>171</v>
      </c>
    </row>
    <row r="144" spans="3:54" x14ac:dyDescent="0.25">
      <c r="C144" s="45" t="s">
        <v>469</v>
      </c>
      <c r="H144" s="45" t="s">
        <v>691</v>
      </c>
      <c r="BA144" t="s">
        <v>638</v>
      </c>
      <c r="BB144" t="s">
        <v>172</v>
      </c>
    </row>
    <row r="145" spans="3:54" x14ac:dyDescent="0.25">
      <c r="C145" s="45" t="s">
        <v>469</v>
      </c>
      <c r="H145" s="45" t="s">
        <v>691</v>
      </c>
      <c r="BA145" t="s">
        <v>408</v>
      </c>
      <c r="BB145" t="s">
        <v>162</v>
      </c>
    </row>
    <row r="146" spans="3:54" x14ac:dyDescent="0.25">
      <c r="C146" s="45" t="s">
        <v>469</v>
      </c>
      <c r="H146" s="45" t="s">
        <v>691</v>
      </c>
      <c r="BA146" t="s">
        <v>411</v>
      </c>
      <c r="BB146" t="s">
        <v>173</v>
      </c>
    </row>
    <row r="147" spans="3:54" x14ac:dyDescent="0.25">
      <c r="C147" s="45" t="s">
        <v>470</v>
      </c>
      <c r="H147" s="45" t="s">
        <v>692</v>
      </c>
      <c r="BA147" t="s">
        <v>412</v>
      </c>
      <c r="BB147" t="s">
        <v>174</v>
      </c>
    </row>
    <row r="148" spans="3:54" x14ac:dyDescent="0.25">
      <c r="C148" s="45" t="s">
        <v>470</v>
      </c>
      <c r="H148" s="45" t="s">
        <v>692</v>
      </c>
      <c r="BA148" t="s">
        <v>413</v>
      </c>
      <c r="BB148" t="s">
        <v>175</v>
      </c>
    </row>
    <row r="149" spans="3:54" x14ac:dyDescent="0.25">
      <c r="C149" s="45" t="s">
        <v>470</v>
      </c>
      <c r="H149" s="45" t="s">
        <v>692</v>
      </c>
      <c r="BA149" t="s">
        <v>414</v>
      </c>
      <c r="BB149" t="s">
        <v>177</v>
      </c>
    </row>
    <row r="150" spans="3:54" x14ac:dyDescent="0.25">
      <c r="C150" s="45" t="s">
        <v>471</v>
      </c>
      <c r="H150" s="45" t="s">
        <v>718</v>
      </c>
      <c r="BA150" t="s">
        <v>415</v>
      </c>
      <c r="BB150" t="s">
        <v>176</v>
      </c>
    </row>
    <row r="151" spans="3:54" x14ac:dyDescent="0.25">
      <c r="C151" s="45" t="s">
        <v>471</v>
      </c>
      <c r="H151" s="45" t="s">
        <v>718</v>
      </c>
      <c r="BA151" t="s">
        <v>394</v>
      </c>
      <c r="BB151" t="s">
        <v>178</v>
      </c>
    </row>
    <row r="152" spans="3:54" x14ac:dyDescent="0.25">
      <c r="C152" s="45" t="s">
        <v>471</v>
      </c>
      <c r="H152" s="45" t="s">
        <v>718</v>
      </c>
      <c r="BA152" t="s">
        <v>393</v>
      </c>
      <c r="BB152" t="s">
        <v>179</v>
      </c>
    </row>
    <row r="153" spans="3:54" x14ac:dyDescent="0.25">
      <c r="C153" s="45" t="s">
        <v>472</v>
      </c>
      <c r="H153" s="45" t="s">
        <v>693</v>
      </c>
      <c r="BA153" t="s">
        <v>395</v>
      </c>
      <c r="BB153" t="s">
        <v>180</v>
      </c>
    </row>
    <row r="154" spans="3:54" x14ac:dyDescent="0.25">
      <c r="C154" s="45" t="s">
        <v>472</v>
      </c>
      <c r="H154" s="45" t="s">
        <v>693</v>
      </c>
      <c r="BA154" t="s">
        <v>396</v>
      </c>
      <c r="BB154" t="s">
        <v>181</v>
      </c>
    </row>
    <row r="155" spans="3:54" x14ac:dyDescent="0.25">
      <c r="C155" s="45" t="s">
        <v>473</v>
      </c>
      <c r="H155" s="45" t="s">
        <v>693</v>
      </c>
      <c r="BA155" t="s">
        <v>397</v>
      </c>
      <c r="BB155" t="s">
        <v>182</v>
      </c>
    </row>
    <row r="156" spans="3:54" x14ac:dyDescent="0.25">
      <c r="C156" s="45" t="s">
        <v>473</v>
      </c>
      <c r="H156" s="45" t="s">
        <v>693</v>
      </c>
      <c r="BA156" t="s">
        <v>407</v>
      </c>
      <c r="BB156" t="s">
        <v>183</v>
      </c>
    </row>
    <row r="157" spans="3:54" x14ac:dyDescent="0.25">
      <c r="C157" s="45" t="s">
        <v>474</v>
      </c>
      <c r="H157" s="45" t="s">
        <v>693</v>
      </c>
      <c r="BA157" t="s">
        <v>398</v>
      </c>
      <c r="BB157" t="s">
        <v>184</v>
      </c>
    </row>
    <row r="158" spans="3:54" x14ac:dyDescent="0.25">
      <c r="C158" s="45" t="s">
        <v>474</v>
      </c>
      <c r="H158" s="45" t="s">
        <v>693</v>
      </c>
      <c r="BA158" t="s">
        <v>399</v>
      </c>
      <c r="BB158" t="s">
        <v>185</v>
      </c>
    </row>
    <row r="159" spans="3:54" x14ac:dyDescent="0.25">
      <c r="C159" s="45" t="s">
        <v>475</v>
      </c>
      <c r="H159" s="45" t="s">
        <v>694</v>
      </c>
      <c r="BA159" t="s">
        <v>400</v>
      </c>
      <c r="BB159" t="s">
        <v>186</v>
      </c>
    </row>
    <row r="160" spans="3:54" x14ac:dyDescent="0.25">
      <c r="C160" s="45" t="s">
        <v>475</v>
      </c>
      <c r="H160" s="45" t="s">
        <v>694</v>
      </c>
      <c r="BA160" t="s">
        <v>401</v>
      </c>
      <c r="BB160" t="s">
        <v>187</v>
      </c>
    </row>
    <row r="161" spans="3:54" x14ac:dyDescent="0.25">
      <c r="C161" s="45" t="s">
        <v>476</v>
      </c>
      <c r="H161" s="45" t="s">
        <v>694</v>
      </c>
      <c r="BA161" t="s">
        <v>402</v>
      </c>
      <c r="BB161" t="s">
        <v>188</v>
      </c>
    </row>
    <row r="162" spans="3:54" x14ac:dyDescent="0.25">
      <c r="C162" s="45" t="s">
        <v>476</v>
      </c>
      <c r="H162" s="45" t="s">
        <v>694</v>
      </c>
      <c r="BA162" t="s">
        <v>403</v>
      </c>
      <c r="BB162" t="s">
        <v>189</v>
      </c>
    </row>
    <row r="163" spans="3:54" x14ac:dyDescent="0.25">
      <c r="C163" s="45" t="s">
        <v>477</v>
      </c>
      <c r="H163" s="45" t="s">
        <v>694</v>
      </c>
      <c r="BA163" t="s">
        <v>404</v>
      </c>
      <c r="BB163" t="s">
        <v>190</v>
      </c>
    </row>
    <row r="164" spans="3:54" x14ac:dyDescent="0.25">
      <c r="C164" s="45" t="s">
        <v>477</v>
      </c>
      <c r="H164" s="45" t="s">
        <v>694</v>
      </c>
      <c r="BA164" t="s">
        <v>405</v>
      </c>
      <c r="BB164" t="s">
        <v>191</v>
      </c>
    </row>
    <row r="165" spans="3:54" x14ac:dyDescent="0.25">
      <c r="C165" s="45" t="s">
        <v>478</v>
      </c>
      <c r="H165" s="45" t="s">
        <v>695</v>
      </c>
      <c r="BA165" t="s">
        <v>406</v>
      </c>
      <c r="BB165" t="s">
        <v>192</v>
      </c>
    </row>
    <row r="166" spans="3:54" x14ac:dyDescent="0.25">
      <c r="C166" s="45" t="s">
        <v>478</v>
      </c>
      <c r="H166" s="45" t="s">
        <v>695</v>
      </c>
      <c r="BA166" t="s">
        <v>388</v>
      </c>
      <c r="BB166" t="s">
        <v>193</v>
      </c>
    </row>
    <row r="167" spans="3:54" x14ac:dyDescent="0.25">
      <c r="C167" s="45" t="s">
        <v>479</v>
      </c>
      <c r="H167" s="45" t="s">
        <v>695</v>
      </c>
      <c r="BA167" t="s">
        <v>389</v>
      </c>
      <c r="BB167" t="s">
        <v>194</v>
      </c>
    </row>
    <row r="168" spans="3:54" x14ac:dyDescent="0.25">
      <c r="C168" s="45" t="s">
        <v>479</v>
      </c>
      <c r="H168" s="45" t="s">
        <v>695</v>
      </c>
      <c r="BA168" t="s">
        <v>390</v>
      </c>
      <c r="BB168" t="s">
        <v>195</v>
      </c>
    </row>
    <row r="169" spans="3:54" x14ac:dyDescent="0.25">
      <c r="C169" s="45" t="s">
        <v>480</v>
      </c>
      <c r="H169" s="45" t="s">
        <v>695</v>
      </c>
      <c r="BA169" t="s">
        <v>391</v>
      </c>
      <c r="BB169" t="s">
        <v>196</v>
      </c>
    </row>
    <row r="170" spans="3:54" x14ac:dyDescent="0.25">
      <c r="C170" s="45" t="s">
        <v>480</v>
      </c>
      <c r="H170" s="45" t="s">
        <v>695</v>
      </c>
      <c r="BA170" t="s">
        <v>392</v>
      </c>
      <c r="BB170" t="s">
        <v>197</v>
      </c>
    </row>
    <row r="171" spans="3:54" x14ac:dyDescent="0.25">
      <c r="C171" s="45" t="s">
        <v>481</v>
      </c>
      <c r="H171" s="45" t="s">
        <v>696</v>
      </c>
      <c r="BA171" t="s">
        <v>385</v>
      </c>
      <c r="BB171" t="s">
        <v>198</v>
      </c>
    </row>
    <row r="172" spans="3:54" x14ac:dyDescent="0.25">
      <c r="C172" s="45" t="s">
        <v>481</v>
      </c>
      <c r="H172" s="45" t="s">
        <v>696</v>
      </c>
      <c r="BA172" t="s">
        <v>386</v>
      </c>
      <c r="BB172" t="s">
        <v>199</v>
      </c>
    </row>
    <row r="173" spans="3:54" x14ac:dyDescent="0.25">
      <c r="C173" s="45" t="s">
        <v>482</v>
      </c>
      <c r="H173" s="45" t="s">
        <v>696</v>
      </c>
      <c r="BA173" t="s">
        <v>387</v>
      </c>
      <c r="BB173" t="s">
        <v>200</v>
      </c>
    </row>
    <row r="174" spans="3:54" x14ac:dyDescent="0.25">
      <c r="C174" s="45" t="s">
        <v>482</v>
      </c>
      <c r="H174" s="45" t="s">
        <v>696</v>
      </c>
      <c r="BA174" t="s">
        <v>378</v>
      </c>
      <c r="BB174" t="s">
        <v>201</v>
      </c>
    </row>
    <row r="175" spans="3:54" x14ac:dyDescent="0.25">
      <c r="C175" s="45" t="s">
        <v>483</v>
      </c>
      <c r="H175" s="45" t="s">
        <v>696</v>
      </c>
      <c r="BA175" t="s">
        <v>379</v>
      </c>
      <c r="BB175" t="s">
        <v>202</v>
      </c>
    </row>
    <row r="176" spans="3:54" x14ac:dyDescent="0.25">
      <c r="C176" s="45" t="s">
        <v>483</v>
      </c>
      <c r="H176" s="45" t="s">
        <v>696</v>
      </c>
      <c r="BA176" t="s">
        <v>380</v>
      </c>
      <c r="BB176" t="s">
        <v>203</v>
      </c>
    </row>
    <row r="177" spans="3:54" x14ac:dyDescent="0.25">
      <c r="C177" s="45" t="s">
        <v>484</v>
      </c>
      <c r="H177" s="45" t="s">
        <v>697</v>
      </c>
      <c r="BA177" t="s">
        <v>381</v>
      </c>
      <c r="BB177" t="s">
        <v>204</v>
      </c>
    </row>
    <row r="178" spans="3:54" x14ac:dyDescent="0.25">
      <c r="C178" s="45" t="s">
        <v>484</v>
      </c>
      <c r="H178" s="45" t="s">
        <v>697</v>
      </c>
      <c r="BA178" t="s">
        <v>382</v>
      </c>
      <c r="BB178" t="s">
        <v>205</v>
      </c>
    </row>
    <row r="179" spans="3:54" x14ac:dyDescent="0.25">
      <c r="C179" s="45" t="s">
        <v>484</v>
      </c>
      <c r="H179" s="45" t="s">
        <v>697</v>
      </c>
      <c r="BA179" t="s">
        <v>383</v>
      </c>
      <c r="BB179" t="s">
        <v>206</v>
      </c>
    </row>
    <row r="180" spans="3:54" x14ac:dyDescent="0.25">
      <c r="C180" s="45" t="s">
        <v>485</v>
      </c>
      <c r="H180" s="45" t="s">
        <v>703</v>
      </c>
      <c r="BA180" t="s">
        <v>384</v>
      </c>
      <c r="BB180" t="s">
        <v>207</v>
      </c>
    </row>
    <row r="181" spans="3:54" x14ac:dyDescent="0.25">
      <c r="C181" s="45" t="s">
        <v>485</v>
      </c>
      <c r="H181" s="45" t="s">
        <v>703</v>
      </c>
      <c r="BA181" t="s">
        <v>376</v>
      </c>
      <c r="BB181" t="s">
        <v>208</v>
      </c>
    </row>
    <row r="182" spans="3:54" x14ac:dyDescent="0.25">
      <c r="C182" s="45" t="s">
        <v>485</v>
      </c>
      <c r="H182" s="45" t="s">
        <v>703</v>
      </c>
      <c r="BA182" t="s">
        <v>377</v>
      </c>
      <c r="BB182" t="s">
        <v>209</v>
      </c>
    </row>
    <row r="183" spans="3:54" x14ac:dyDescent="0.25">
      <c r="C183" s="45" t="s">
        <v>486</v>
      </c>
      <c r="H183" s="45" t="s">
        <v>704</v>
      </c>
      <c r="BA183" t="s">
        <v>375</v>
      </c>
      <c r="BB183" t="s">
        <v>163</v>
      </c>
    </row>
    <row r="184" spans="3:54" x14ac:dyDescent="0.25">
      <c r="C184" s="45" t="s">
        <v>486</v>
      </c>
      <c r="H184" s="45" t="s">
        <v>704</v>
      </c>
      <c r="BA184" t="s">
        <v>374</v>
      </c>
      <c r="BB184" t="s">
        <v>164</v>
      </c>
    </row>
    <row r="185" spans="3:54" x14ac:dyDescent="0.25">
      <c r="C185" s="45" t="s">
        <v>486</v>
      </c>
      <c r="H185" s="45" t="s">
        <v>704</v>
      </c>
      <c r="BA185" t="s">
        <v>371</v>
      </c>
      <c r="BB185" t="s">
        <v>210</v>
      </c>
    </row>
    <row r="186" spans="3:54" x14ac:dyDescent="0.25">
      <c r="C186" s="45" t="s">
        <v>487</v>
      </c>
      <c r="H186" s="45" t="s">
        <v>705</v>
      </c>
      <c r="BA186" t="s">
        <v>372</v>
      </c>
      <c r="BB186" t="s">
        <v>211</v>
      </c>
    </row>
    <row r="187" spans="3:54" x14ac:dyDescent="0.25">
      <c r="C187" s="45" t="s">
        <v>487</v>
      </c>
      <c r="H187" s="45" t="s">
        <v>705</v>
      </c>
      <c r="BA187" t="s">
        <v>373</v>
      </c>
      <c r="BB187" t="s">
        <v>212</v>
      </c>
    </row>
    <row r="188" spans="3:54" x14ac:dyDescent="0.25">
      <c r="C188" s="45" t="s">
        <v>488</v>
      </c>
      <c r="H188" s="45" t="s">
        <v>706</v>
      </c>
      <c r="BA188" t="s">
        <v>367</v>
      </c>
      <c r="BB188" t="s">
        <v>213</v>
      </c>
    </row>
    <row r="189" spans="3:54" x14ac:dyDescent="0.25">
      <c r="C189" s="45" t="s">
        <v>488</v>
      </c>
      <c r="H189" s="45" t="s">
        <v>706</v>
      </c>
      <c r="BA189" t="s">
        <v>368</v>
      </c>
      <c r="BB189" t="s">
        <v>214</v>
      </c>
    </row>
    <row r="190" spans="3:54" x14ac:dyDescent="0.25">
      <c r="C190" s="45" t="s">
        <v>489</v>
      </c>
      <c r="H190" s="45" t="s">
        <v>707</v>
      </c>
      <c r="BA190" t="s">
        <v>369</v>
      </c>
      <c r="BB190" t="s">
        <v>215</v>
      </c>
    </row>
    <row r="191" spans="3:54" x14ac:dyDescent="0.25">
      <c r="C191" s="45" t="s">
        <v>489</v>
      </c>
      <c r="H191" s="45" t="s">
        <v>707</v>
      </c>
      <c r="BA191" t="s">
        <v>370</v>
      </c>
      <c r="BB191" t="s">
        <v>216</v>
      </c>
    </row>
    <row r="192" spans="3:54" x14ac:dyDescent="0.25">
      <c r="C192" s="45" t="s">
        <v>490</v>
      </c>
      <c r="H192" s="45" t="s">
        <v>719</v>
      </c>
      <c r="BA192" t="s">
        <v>355</v>
      </c>
      <c r="BB192" t="s">
        <v>217</v>
      </c>
    </row>
    <row r="193" spans="3:54" x14ac:dyDescent="0.25">
      <c r="C193" s="45" t="s">
        <v>490</v>
      </c>
      <c r="H193" s="45" t="s">
        <v>719</v>
      </c>
      <c r="BA193" t="s">
        <v>356</v>
      </c>
      <c r="BB193" t="s">
        <v>218</v>
      </c>
    </row>
    <row r="194" spans="3:54" x14ac:dyDescent="0.25">
      <c r="C194" s="45" t="s">
        <v>491</v>
      </c>
      <c r="H194" s="45" t="s">
        <v>708</v>
      </c>
      <c r="BA194" t="s">
        <v>357</v>
      </c>
      <c r="BB194" t="s">
        <v>219</v>
      </c>
    </row>
    <row r="195" spans="3:54" x14ac:dyDescent="0.25">
      <c r="C195" s="45" t="s">
        <v>491</v>
      </c>
      <c r="H195" s="45" t="s">
        <v>708</v>
      </c>
      <c r="BA195" t="s">
        <v>358</v>
      </c>
      <c r="BB195" t="s">
        <v>220</v>
      </c>
    </row>
    <row r="196" spans="3:54" x14ac:dyDescent="0.25">
      <c r="C196" s="45" t="s">
        <v>492</v>
      </c>
      <c r="H196" s="45" t="s">
        <v>720</v>
      </c>
      <c r="BA196" t="s">
        <v>359</v>
      </c>
      <c r="BB196" t="s">
        <v>221</v>
      </c>
    </row>
    <row r="197" spans="3:54" x14ac:dyDescent="0.25">
      <c r="C197" s="45" t="s">
        <v>492</v>
      </c>
      <c r="H197" s="45" t="s">
        <v>720</v>
      </c>
      <c r="BA197" t="s">
        <v>360</v>
      </c>
      <c r="BB197" t="s">
        <v>222</v>
      </c>
    </row>
    <row r="198" spans="3:54" x14ac:dyDescent="0.25">
      <c r="C198" s="45" t="s">
        <v>493</v>
      </c>
      <c r="H198" s="45" t="s">
        <v>721</v>
      </c>
      <c r="BA198" t="s">
        <v>361</v>
      </c>
      <c r="BB198" t="s">
        <v>223</v>
      </c>
    </row>
    <row r="199" spans="3:54" x14ac:dyDescent="0.25">
      <c r="C199" s="45" t="s">
        <v>493</v>
      </c>
      <c r="H199" s="45" t="s">
        <v>721</v>
      </c>
      <c r="BA199" t="s">
        <v>362</v>
      </c>
      <c r="BB199" t="s">
        <v>224</v>
      </c>
    </row>
    <row r="200" spans="3:54" x14ac:dyDescent="0.25">
      <c r="C200" s="45" t="s">
        <v>494</v>
      </c>
      <c r="H200" s="45" t="s">
        <v>722</v>
      </c>
      <c r="BA200" t="s">
        <v>363</v>
      </c>
      <c r="BB200" t="s">
        <v>225</v>
      </c>
    </row>
    <row r="201" spans="3:54" x14ac:dyDescent="0.25">
      <c r="C201" s="45" t="s">
        <v>494</v>
      </c>
      <c r="H201" s="45" t="s">
        <v>722</v>
      </c>
      <c r="BA201" t="s">
        <v>364</v>
      </c>
      <c r="BB201" t="s">
        <v>226</v>
      </c>
    </row>
    <row r="202" spans="3:54" x14ac:dyDescent="0.25">
      <c r="C202" s="45" t="s">
        <v>495</v>
      </c>
      <c r="H202" s="45" t="s">
        <v>725</v>
      </c>
      <c r="BA202" t="s">
        <v>365</v>
      </c>
      <c r="BB202" t="s">
        <v>227</v>
      </c>
    </row>
    <row r="203" spans="3:54" x14ac:dyDescent="0.25">
      <c r="BA203" t="s">
        <v>366</v>
      </c>
      <c r="BB203" t="s">
        <v>228</v>
      </c>
    </row>
  </sheetData>
  <dataValidations count="1">
    <dataValidation allowBlank="1" showInputMessage="1" showErrorMessage="1" sqref="X8" xr:uid="{00000000-0002-0000-0500-000000000000}"/>
  </dataValidation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56A2C1687CA6D4CBC65D260A316D77B" ma:contentTypeVersion="0" ma:contentTypeDescription="Create a new document." ma:contentTypeScope="" ma:versionID="a1ca3bbda5743892998a3d8b47423454">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F0B1F2D-50DF-40F6-9162-B0B145C28952}">
  <ds:schemaRefs>
    <ds:schemaRef ds:uri="http://schemas.microsoft.com/sharepoint/v3/contenttype/forms"/>
  </ds:schemaRefs>
</ds:datastoreItem>
</file>

<file path=customXml/itemProps2.xml><?xml version="1.0" encoding="utf-8"?>
<ds:datastoreItem xmlns:ds="http://schemas.openxmlformats.org/officeDocument/2006/customXml" ds:itemID="{0B8A9D6F-E6C3-4C2E-B0FB-41DC76565886}">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http://schemas.openxmlformats.org/package/2006/metadata/core-properties"/>
  </ds:schemaRefs>
</ds:datastoreItem>
</file>

<file path=customXml/itemProps3.xml><?xml version="1.0" encoding="utf-8"?>
<ds:datastoreItem xmlns:ds="http://schemas.openxmlformats.org/officeDocument/2006/customXml" ds:itemID="{47CC4C18-0400-480E-9311-EFF6132AC0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68</vt:i4>
      </vt:variant>
    </vt:vector>
  </HeadingPairs>
  <TitlesOfParts>
    <vt:vector size="74" baseType="lpstr">
      <vt:lpstr>Introduction</vt:lpstr>
      <vt:lpstr>Trade-Off_Conformité</vt:lpstr>
      <vt:lpstr>Help-Aide</vt:lpstr>
      <vt:lpstr>Glazings_Vitrage</vt:lpstr>
      <vt:lpstr>Report-Rapport</vt:lpstr>
      <vt:lpstr>Tables</vt:lpstr>
      <vt:lpstr>C_DL_ctrl</vt:lpstr>
      <vt:lpstr>C_DL_ctrl_value</vt:lpstr>
      <vt:lpstr>C_EL_ctrl</vt:lpstr>
      <vt:lpstr>C_EL_ctrl_value</vt:lpstr>
      <vt:lpstr>Choice_Y_N</vt:lpstr>
      <vt:lpstr>Cocc_ctrl_i</vt:lpstr>
      <vt:lpstr>Conv_Area_IP_to_SI</vt:lpstr>
      <vt:lpstr>Conv_Illum_IP_to_SI</vt:lpstr>
      <vt:lpstr>Conv_Length_IP_to_SI</vt:lpstr>
      <vt:lpstr>d_operation</vt:lpstr>
      <vt:lpstr>Daylight_supply</vt:lpstr>
      <vt:lpstr>Design_Illuminance</vt:lpstr>
      <vt:lpstr>Enclosed_Spaces_List</vt:lpstr>
      <vt:lpstr>Gross_Floor_Area</vt:lpstr>
      <vt:lpstr>hlp_Angle_to_top_horizontal_obstruction</vt:lpstr>
      <vt:lpstr>hlp_Atrium_Height</vt:lpstr>
      <vt:lpstr>hlp_Control_factor_for_lighting</vt:lpstr>
      <vt:lpstr>hlp_Daylight_system_control</vt:lpstr>
      <vt:lpstr>hlp_Daylighted_area</vt:lpstr>
      <vt:lpstr>hlp_Design_illuminance___lx</vt:lpstr>
      <vt:lpstr>hlp_Dirt_accumulation_factor</vt:lpstr>
      <vt:lpstr>hlp_Enclosde_Space</vt:lpstr>
      <vt:lpstr>hlp_Enclosed_Space_Function</vt:lpstr>
      <vt:lpstr>hlp_Excluded_from_the_prescibed_automatic_control</vt:lpstr>
      <vt:lpstr>hlp_Framing_Factor</vt:lpstr>
      <vt:lpstr>hlp_Gross_interior_floor_area</vt:lpstr>
      <vt:lpstr>hlp_Height_of_the_space</vt:lpstr>
      <vt:lpstr>hlp_IILE</vt:lpstr>
      <vt:lpstr>hlp_ILEA</vt:lpstr>
      <vt:lpstr>hlp_Length_of_the_space</vt:lpstr>
      <vt:lpstr>hlp_Llighting_power</vt:lpstr>
      <vt:lpstr>hlp_Luminous_transmittance_of_the_glazing</vt:lpstr>
      <vt:lpstr>hlp_Non_perpendicular_light_incidence_Factor</vt:lpstr>
      <vt:lpstr>hlp_Occupancy_sensing_mechnism_type</vt:lpstr>
      <vt:lpstr>hlp_Orientation_of_fenestration_providing_Sidelighting</vt:lpstr>
      <vt:lpstr>hlp_Primary_type_of_daylight_supply</vt:lpstr>
      <vt:lpstr>hlp_Space_Function</vt:lpstr>
      <vt:lpstr>hlp_Space_name</vt:lpstr>
      <vt:lpstr>hlp_Space_operation_end_time</vt:lpstr>
      <vt:lpstr>hlp_Space_operation_start_time</vt:lpstr>
      <vt:lpstr>hlp_Total_area_of_rough_opening_for_toplighting</vt:lpstr>
      <vt:lpstr>hlp_Width_of_the_space</vt:lpstr>
      <vt:lpstr>Hours</vt:lpstr>
      <vt:lpstr>hpl_4224</vt:lpstr>
      <vt:lpstr>hpl_55N</vt:lpstr>
      <vt:lpstr>hpl_Pers_Ctrl</vt:lpstr>
      <vt:lpstr>hpl_SAP</vt:lpstr>
      <vt:lpstr>hpl_SEA</vt:lpstr>
      <vt:lpstr>Language</vt:lpstr>
      <vt:lpstr>Menu_Titles</vt:lpstr>
      <vt:lpstr>NumSpaces</vt:lpstr>
      <vt:lpstr>Occupancy_ctrl_mechanism</vt:lpstr>
      <vt:lpstr>Orientation</vt:lpstr>
      <vt:lpstr>Personal_control__Cpers_ctrl_i</vt:lpstr>
      <vt:lpstr>Prescriptive_LPD</vt:lpstr>
      <vt:lpstr>'Report-Rapport'!Print_Area</vt:lpstr>
      <vt:lpstr>Raw_Daylight_Supply</vt:lpstr>
      <vt:lpstr>RCR</vt:lpstr>
      <vt:lpstr>Realtive_Absence_of_Occupants__CA_i</vt:lpstr>
      <vt:lpstr>SAP</vt:lpstr>
      <vt:lpstr>Select_Lang</vt:lpstr>
      <vt:lpstr>Select_Units</vt:lpstr>
      <vt:lpstr>Space_Types</vt:lpstr>
      <vt:lpstr>Stop_Hours</vt:lpstr>
      <vt:lpstr>Supply_factor_toplighting</vt:lpstr>
      <vt:lpstr>t_day</vt:lpstr>
      <vt:lpstr>t_night</vt:lpstr>
      <vt:lpstr>Units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Douglas Stewart</dc:creator>
  <cp:lastModifiedBy>Justin Perin</cp:lastModifiedBy>
  <dcterms:created xsi:type="dcterms:W3CDTF">2017-06-01T14:42:29Z</dcterms:created>
  <dcterms:modified xsi:type="dcterms:W3CDTF">2024-05-10T17:45:58Z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0x01010083913F71EBEDEF4CBBF828B0A9F6DD7F</vt:lpwstr>
  </property>
</Properties>
</file>